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315" windowHeight="67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127" i="1"/>
  <c r="N122"/>
  <c r="N118"/>
  <c r="N117"/>
  <c r="N114"/>
  <c r="N113"/>
  <c r="N112"/>
  <c r="N108"/>
  <c r="N107"/>
  <c r="N103"/>
  <c r="N102"/>
  <c r="N88"/>
  <c r="N87"/>
  <c r="N100"/>
  <c r="N99"/>
  <c r="N98"/>
  <c r="N97"/>
  <c r="N58"/>
  <c r="N73"/>
  <c r="N52"/>
  <c r="N72"/>
  <c r="N68"/>
  <c r="N70" s="1"/>
  <c r="G24"/>
  <c r="I25"/>
  <c r="I24"/>
  <c r="K39"/>
  <c r="K30"/>
  <c r="I30"/>
  <c r="G30"/>
  <c r="E30"/>
  <c r="C32"/>
  <c r="C31"/>
  <c r="C30"/>
  <c r="L31"/>
  <c r="L30"/>
  <c r="D30" s="1"/>
  <c r="M41"/>
  <c r="K41"/>
  <c r="N39"/>
  <c r="N29"/>
  <c r="A33"/>
  <c r="A34" s="1"/>
  <c r="A35" s="1"/>
  <c r="A36" s="1"/>
  <c r="A37" s="1"/>
  <c r="A38" s="1"/>
  <c r="A39" s="1"/>
  <c r="A32"/>
  <c r="L32" s="1"/>
  <c r="B33"/>
  <c r="B34" s="1"/>
  <c r="B35" s="1"/>
  <c r="B36" s="1"/>
  <c r="B37" s="1"/>
  <c r="B38" s="1"/>
  <c r="B39" s="1"/>
  <c r="B32"/>
  <c r="F22"/>
  <c r="C20"/>
  <c r="B21"/>
  <c r="I21"/>
  <c r="D14"/>
  <c r="D16" s="1"/>
  <c r="G7"/>
  <c r="G6"/>
  <c r="G8" s="1"/>
  <c r="G17"/>
  <c r="J5"/>
  <c r="L7"/>
  <c r="G11"/>
  <c r="L33" l="1"/>
  <c r="L35"/>
  <c r="L37"/>
  <c r="C34"/>
  <c r="C36"/>
  <c r="C38"/>
  <c r="L34"/>
  <c r="L36"/>
  <c r="L38"/>
  <c r="C33"/>
  <c r="C42" s="1"/>
  <c r="C35"/>
  <c r="C37"/>
  <c r="M30"/>
  <c r="F30"/>
  <c r="H30"/>
  <c r="J30"/>
</calcChain>
</file>

<file path=xl/sharedStrings.xml><?xml version="1.0" encoding="utf-8"?>
<sst xmlns="http://schemas.openxmlformats.org/spreadsheetml/2006/main" count="127" uniqueCount="117">
  <si>
    <t>[H+] = 10^-pH</t>
  </si>
  <si>
    <t>pH = log10^[H+]</t>
  </si>
  <si>
    <t>water</t>
  </si>
  <si>
    <t xml:space="preserve">ph also </t>
  </si>
  <si>
    <r>
      <t>m</t>
    </r>
    <r>
      <rPr>
        <i/>
        <vertAlign val="subscript"/>
        <sz val="10"/>
        <color theme="1"/>
        <rFont val="Times New Roman"/>
        <family val="1"/>
      </rPr>
      <t>a</t>
    </r>
    <r>
      <rPr>
        <sz val="10"/>
        <color theme="1"/>
        <rFont val="Times New Roman"/>
        <family val="1"/>
      </rPr>
      <t xml:space="preserve"> = </t>
    </r>
    <r>
      <rPr>
        <i/>
        <sz val="10"/>
        <color theme="1"/>
        <rFont val="Times New Roman"/>
        <family val="1"/>
      </rPr>
      <t>v</t>
    </r>
    <r>
      <rPr>
        <sz val="10"/>
        <color theme="1"/>
        <rFont val="Times New Roman"/>
        <family val="1"/>
      </rPr>
      <t>(</t>
    </r>
    <r>
      <rPr>
        <i/>
        <sz val="10"/>
        <color theme="1"/>
        <rFont val="Times New Roman"/>
        <family val="1"/>
      </rPr>
      <t>a</t>
    </r>
    <r>
      <rPr>
        <i/>
        <vertAlign val="subscript"/>
        <sz val="10"/>
        <color theme="1"/>
        <rFont val="Times New Roman"/>
        <family val="1"/>
      </rPr>
      <t>t</t>
    </r>
    <r>
      <rPr>
        <sz val="10"/>
        <color theme="1"/>
        <rFont val="Times New Roman"/>
        <family val="1"/>
      </rPr>
      <t xml:space="preserve"> - </t>
    </r>
    <r>
      <rPr>
        <i/>
        <sz val="10"/>
        <color theme="1"/>
        <rFont val="Times New Roman"/>
        <family val="1"/>
      </rPr>
      <t>a</t>
    </r>
    <r>
      <rPr>
        <i/>
        <vertAlign val="subscript"/>
        <sz val="10"/>
        <color theme="1"/>
        <rFont val="Times New Roman"/>
        <family val="1"/>
      </rPr>
      <t>i</t>
    </r>
    <r>
      <rPr>
        <sz val="10"/>
        <color theme="1"/>
        <rFont val="Times New Roman"/>
        <family val="1"/>
      </rPr>
      <t>)(</t>
    </r>
    <r>
      <rPr>
        <i/>
        <sz val="10"/>
        <color theme="1"/>
        <rFont val="Times New Roman"/>
        <family val="1"/>
      </rPr>
      <t>i</t>
    </r>
    <r>
      <rPr>
        <i/>
        <vertAlign val="subscript"/>
        <sz val="10"/>
        <color theme="1"/>
        <rFont val="Times New Roman"/>
        <family val="1"/>
      </rPr>
      <t>t</t>
    </r>
    <r>
      <rPr>
        <sz val="10"/>
        <color theme="1"/>
        <rFont val="Times New Roman"/>
        <family val="1"/>
      </rPr>
      <t>/</t>
    </r>
    <r>
      <rPr>
        <i/>
        <sz val="10"/>
        <color theme="1"/>
        <rFont val="Times New Roman"/>
        <family val="1"/>
      </rPr>
      <t>mw</t>
    </r>
    <r>
      <rPr>
        <i/>
        <vertAlign val="subscript"/>
        <sz val="10"/>
        <color theme="1"/>
        <rFont val="Times New Roman"/>
        <family val="1"/>
      </rPr>
      <t>t</t>
    </r>
    <r>
      <rPr>
        <sz val="10"/>
        <color theme="1"/>
        <rFont val="Times New Roman"/>
        <family val="1"/>
      </rPr>
      <t>) / (</t>
    </r>
    <r>
      <rPr>
        <i/>
        <sz val="10"/>
        <color theme="1"/>
        <rFont val="Times New Roman"/>
        <family val="1"/>
      </rPr>
      <t>i</t>
    </r>
    <r>
      <rPr>
        <i/>
        <vertAlign val="subscript"/>
        <sz val="10"/>
        <color theme="1"/>
        <rFont val="Times New Roman"/>
        <family val="1"/>
      </rPr>
      <t>a</t>
    </r>
    <r>
      <rPr>
        <sz val="10"/>
        <color theme="1"/>
        <rFont val="Times New Roman"/>
        <family val="1"/>
      </rPr>
      <t>/</t>
    </r>
    <r>
      <rPr>
        <i/>
        <sz val="10"/>
        <color theme="1"/>
        <rFont val="Times New Roman"/>
        <family val="1"/>
      </rPr>
      <t>mw</t>
    </r>
    <r>
      <rPr>
        <i/>
        <vertAlign val="subscript"/>
        <sz val="10"/>
        <color theme="1"/>
        <rFont val="Times New Roman"/>
        <family val="1"/>
      </rPr>
      <t>a</t>
    </r>
    <r>
      <rPr>
        <sz val="10"/>
        <color theme="1"/>
        <rFont val="Times New Roman"/>
        <family val="1"/>
      </rPr>
      <t>)</t>
    </r>
  </si>
  <si>
    <t>it</t>
  </si>
  <si>
    <t>at</t>
  </si>
  <si>
    <t>ai</t>
  </si>
  <si>
    <t>v</t>
  </si>
  <si>
    <t>ia</t>
  </si>
  <si>
    <t>ma</t>
  </si>
  <si>
    <t>mwa</t>
  </si>
  <si>
    <t>mwt</t>
  </si>
  <si>
    <t>tartaric and malic = 90%+</t>
  </si>
  <si>
    <t>tar</t>
  </si>
  <si>
    <t>We will abbreviate the six acids listed above as ‘tar’ and ‘mal, cit,</t>
  </si>
  <si>
    <t>suc, lac, ace’.We will refer to an acid as Ax, x=ftar, mal, cit, suc, lac,</t>
  </si>
  <si>
    <t>aceg, or x = 0. . . 5, and the concentration of a particular ionic species</t>
  </si>
  <si>
    <t>of such an acid as [A¡i</t>
  </si>
  <si>
    <t>x ], where i is the ionisation state of the acid,</t>
  </si>
  <si>
    <t>i = 0. . . max(x), and max(x) in turn is the maximum ionisation state</t>
  </si>
  <si>
    <t>of the acid x.2</t>
  </si>
  <si>
    <t>mal</t>
  </si>
  <si>
    <t>cit</t>
  </si>
  <si>
    <t>suc</t>
  </si>
  <si>
    <t>lac</t>
  </si>
  <si>
    <t>ace</t>
  </si>
  <si>
    <r>
      <t>[A</t>
    </r>
    <r>
      <rPr>
        <vertAlign val="subscript"/>
        <sz val="11"/>
        <color theme="1"/>
        <rFont val="Calibri"/>
        <family val="2"/>
        <scheme val="minor"/>
      </rPr>
      <t>x</t>
    </r>
    <r>
      <rPr>
        <vertAlign val="superscript"/>
        <sz val="11"/>
        <color theme="1"/>
        <rFont val="A770-Deco"/>
      </rPr>
      <t>tot</t>
    </r>
    <r>
      <rPr>
        <sz val="11"/>
        <color theme="1"/>
        <rFont val="Calibri"/>
        <family val="2"/>
        <scheme val="minor"/>
      </rPr>
      <t>]</t>
    </r>
  </si>
  <si>
    <t>total consentration of a particular acid</t>
  </si>
  <si>
    <t>final double Kw25 =</t>
  </si>
  <si>
    <t>inal double MolWtNaOH =</t>
  </si>
  <si>
    <t>Dissociation constant for water at 25C.</t>
  </si>
  <si>
    <t>EXP(LN10 * (-n))</t>
  </si>
  <si>
    <t>static final double pHindicator</t>
  </si>
  <si>
    <t>static final double WaterDensity25</t>
  </si>
  <si>
    <t>//kg per litre. High precision is spurious.</t>
  </si>
  <si>
    <t>molWt</t>
  </si>
  <si>
    <t>TAR</t>
  </si>
  <si>
    <t>MAL</t>
  </si>
  <si>
    <t>SUC</t>
  </si>
  <si>
    <t>LAC</t>
  </si>
  <si>
    <t>CIT</t>
  </si>
  <si>
    <t>ACE</t>
  </si>
  <si>
    <t>calckd</t>
  </si>
  <si>
    <t xml:space="preserve"> calckd</t>
  </si>
  <si>
    <t>Molar2Molal</t>
  </si>
  <si>
    <t>sg=1</t>
  </si>
  <si>
    <t>return (molar / (sg *  WaterDensity25))</t>
  </si>
  <si>
    <t>for TAR as an example</t>
  </si>
  <si>
    <t>FromMolal</t>
  </si>
  <si>
    <t>// The reverse of Molar2Molal above:</t>
  </si>
  <si>
    <t>(molal * sg * WaterDensity25)</t>
  </si>
  <si>
    <t>ta</t>
  </si>
  <si>
    <t>ph1</t>
  </si>
  <si>
    <t>ph2</t>
  </si>
  <si>
    <t>Molar2Molal(TA)</t>
  </si>
  <si>
    <t>molalTA = 2*TA / molWt[TAR];</t>
  </si>
  <si>
    <t>H</t>
  </si>
  <si>
    <t>TartaricPercent</t>
  </si>
  <si>
    <t>MalicPercent</t>
  </si>
  <si>
    <t>CitricPercent</t>
  </si>
  <si>
    <t>SuccinicPercent</t>
  </si>
  <si>
    <t>LacticPercent</t>
  </si>
  <si>
    <t>AceticPercent</t>
  </si>
  <si>
    <t>TA</t>
  </si>
  <si>
    <t>pHi</t>
  </si>
  <si>
    <t>pHf</t>
  </si>
  <si>
    <t>SpecificGravity</t>
  </si>
  <si>
    <t>TACID</t>
  </si>
  <si>
    <t>static final int TAR = 0;</t>
  </si>
  <si>
    <t xml:space="preserve">  static final int MAL = 1;</t>
  </si>
  <si>
    <t xml:space="preserve">  static final int CIT = 2;</t>
  </si>
  <si>
    <t xml:space="preserve">  static final int SUC = 3;</t>
  </si>
  <si>
    <t xml:space="preserve">  static final int LAC = 4;</t>
  </si>
  <si>
    <t xml:space="preserve">  static final int ACE = 5;</t>
  </si>
  <si>
    <t xml:space="preserve">  static final int TACID = 10;</t>
  </si>
  <si>
    <t xml:space="preserve">  static final int pHINIT = 11;</t>
  </si>
  <si>
    <t xml:space="preserve">  static final int pHFIN = 12;</t>
  </si>
  <si>
    <t xml:space="preserve">  static final int SG = 13;</t>
  </si>
  <si>
    <t>TA= Molar2Molal(ta)</t>
  </si>
  <si>
    <t>molalTA=2*TA / molWt[TAR]</t>
  </si>
  <si>
    <t>pHINIT now = pHi</t>
  </si>
  <si>
    <t>H =exp(ln10 * (-pH)))</t>
  </si>
  <si>
    <t xml:space="preserve">double sumPercent ()  // add up all EXCEPT Tartaric. </t>
  </si>
  <si>
    <t xml:space="preserve">  { double sigma;</t>
  </si>
  <si>
    <t>sigma =</t>
  </si>
  <si>
    <t>ln10 = log(10)</t>
  </si>
  <si>
    <t xml:space="preserve">  static final double MolWtKHCO3 = 100.12 ; </t>
  </si>
  <si>
    <t xml:space="preserve">  static final double MolWtNaOH = 40.00; </t>
  </si>
  <si>
    <t xml:space="preserve">  static final double Kw25 = 1.0e-14;  // Dissociation constant for water at 25C.</t>
  </si>
  <si>
    <t xml:space="preserve">  static final int DATAPOINTS = 1000;   // number of data points in plotting ...</t>
  </si>
  <si>
    <t>pHindicator = 8.3</t>
  </si>
  <si>
    <t>Kd[K1][TAR] = calcKd(2.98);  // ????????????????? NOOOOO. MUST BE 10**(-n) ???????</t>
  </si>
  <si>
    <t xml:space="preserve">   Kd[K2][TAR] = calcKd(4.54);</t>
  </si>
  <si>
    <t xml:space="preserve">   Kd[K3][TAR] = 0;</t>
  </si>
  <si>
    <t xml:space="preserve">   iMax[TAR] = 2;</t>
  </si>
  <si>
    <t xml:space="preserve">         //</t>
  </si>
  <si>
    <t xml:space="preserve">   Kd[K1][MAL] = calcKd(3.40);</t>
  </si>
  <si>
    <t xml:space="preserve">   Kd[K2][MAL] = calcKd(5.05);</t>
  </si>
  <si>
    <t xml:space="preserve">   Kd[K3][MAL] = 0;</t>
  </si>
  <si>
    <t xml:space="preserve">   iMax[MAL] = 2;</t>
  </si>
  <si>
    <t xml:space="preserve">   Kd[K1][CIT] = calcKd(3.13);</t>
  </si>
  <si>
    <t xml:space="preserve">   Kd[K2][CIT] = calcKd(4.76);</t>
  </si>
  <si>
    <t xml:space="preserve">   Kd[K3][CIT] = calcKd(5.40);</t>
  </si>
  <si>
    <t xml:space="preserve">   iMax[CIT] = 3;</t>
  </si>
  <si>
    <t xml:space="preserve">   Kd[K1][SUC] = calcKd(4.16);</t>
  </si>
  <si>
    <t xml:space="preserve">   Kd[K2][SUC] = calcKd(5.57);</t>
  </si>
  <si>
    <t xml:space="preserve">   Kd[K3][SUC] = 0;</t>
  </si>
  <si>
    <t xml:space="preserve">   iMax[SUC] = 2;</t>
  </si>
  <si>
    <t xml:space="preserve">   Kd[K1][LAC] = calcKd(3.86);</t>
  </si>
  <si>
    <t xml:space="preserve">   Kd[K2][LAC] = 0;</t>
  </si>
  <si>
    <t xml:space="preserve">   Kd[K3][LAC] = 0;</t>
  </si>
  <si>
    <t xml:space="preserve">   iMax[LAC] = 1;</t>
  </si>
  <si>
    <t xml:space="preserve">   Kd[K1][ACE] = calcKd(4.75);</t>
  </si>
  <si>
    <t xml:space="preserve">   Kd[K2][ACE] = 0;</t>
  </si>
  <si>
    <t xml:space="preserve">   Kd[K3][ACE] = 0;</t>
  </si>
  <si>
    <t xml:space="preserve">   iMax[ACE] = 1;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</si>
</sst>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00000"/>
    <numFmt numFmtId="166" formatCode="0.0000"/>
    <numFmt numFmtId="167" formatCode="0.00000"/>
  </numFmts>
  <fonts count="7">
    <font>
      <sz val="11"/>
      <color theme="1"/>
      <name val="Calibri"/>
      <family val="2"/>
      <scheme val="minor"/>
    </font>
    <font>
      <sz val="11"/>
      <color rgb="FF333333"/>
      <name val="Inherit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vertAlign val="subscript"/>
      <sz val="10"/>
      <color theme="1"/>
      <name val="Times New Roman"/>
      <family val="1"/>
    </font>
    <font>
      <vertAlign val="superscript"/>
      <sz val="11"/>
      <color theme="1"/>
      <name val="A770-Deco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/>
    <xf numFmtId="164" fontId="0" fillId="0" borderId="0" xfId="0" applyNumberFormat="1"/>
    <xf numFmtId="11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O130"/>
  <sheetViews>
    <sheetView tabSelected="1" topLeftCell="A111" workbookViewId="0">
      <selection activeCell="N128" sqref="N128"/>
    </sheetView>
  </sheetViews>
  <sheetFormatPr defaultRowHeight="15"/>
  <cols>
    <col min="5" max="5" width="12" bestFit="1" customWidth="1"/>
    <col min="7" max="7" width="10" bestFit="1" customWidth="1"/>
    <col min="13" max="13" width="10.7109375" customWidth="1"/>
    <col min="14" max="14" width="10.5703125" bestFit="1" customWidth="1"/>
  </cols>
  <sheetData>
    <row r="5" spans="4:12">
      <c r="J5">
        <f>LOG(1*(10^6))</f>
        <v>6</v>
      </c>
    </row>
    <row r="6" spans="4:12">
      <c r="D6" s="1" t="s">
        <v>0</v>
      </c>
      <c r="G6">
        <f>10^(-7)</f>
        <v>9.9999999999999995E-8</v>
      </c>
      <c r="H6" t="s">
        <v>2</v>
      </c>
    </row>
    <row r="7" spans="4:12">
      <c r="G7">
        <f>10^(-3.8)</f>
        <v>1.584893192461112E-4</v>
      </c>
      <c r="L7">
        <f>10^-6</f>
        <v>9.9999999999999995E-7</v>
      </c>
    </row>
    <row r="8" spans="4:12">
      <c r="D8" s="1" t="s">
        <v>1</v>
      </c>
      <c r="G8">
        <f>LOG(G6)</f>
        <v>-7</v>
      </c>
      <c r="H8" t="s">
        <v>2</v>
      </c>
    </row>
    <row r="10" spans="4:12">
      <c r="D10" t="s">
        <v>3</v>
      </c>
    </row>
    <row r="11" spans="4:12">
      <c r="F11">
        <v>3.85</v>
      </c>
      <c r="G11">
        <f>LOG(1/3.85)</f>
        <v>-0.5854607295085007</v>
      </c>
    </row>
    <row r="12" spans="4:12">
      <c r="K12" s="2" t="s">
        <v>4</v>
      </c>
    </row>
    <row r="14" spans="4:12">
      <c r="D14">
        <f>10^(-3.6)</f>
        <v>2.5118864315095774E-4</v>
      </c>
      <c r="H14" t="s">
        <v>5</v>
      </c>
      <c r="I14">
        <v>2</v>
      </c>
    </row>
    <row r="15" spans="4:12">
      <c r="H15" t="s">
        <v>6</v>
      </c>
      <c r="I15">
        <v>7</v>
      </c>
    </row>
    <row r="16" spans="4:12">
      <c r="D16">
        <f>LOG(D14)*-1</f>
        <v>3.6000000000000005</v>
      </c>
      <c r="H16" t="s">
        <v>7</v>
      </c>
      <c r="I16">
        <v>5</v>
      </c>
    </row>
    <row r="17" spans="1:14">
      <c r="G17">
        <f>LOG(1/0.0000001)</f>
        <v>7</v>
      </c>
      <c r="H17" t="s">
        <v>8</v>
      </c>
      <c r="I17">
        <v>230</v>
      </c>
    </row>
    <row r="18" spans="1:14">
      <c r="H18" t="s">
        <v>12</v>
      </c>
      <c r="I18">
        <v>150.09</v>
      </c>
    </row>
    <row r="19" spans="1:14">
      <c r="H19" t="s">
        <v>9</v>
      </c>
      <c r="I19">
        <v>2</v>
      </c>
    </row>
    <row r="20" spans="1:14">
      <c r="C20">
        <f>44/0.001</f>
        <v>44000</v>
      </c>
      <c r="H20" t="s">
        <v>11</v>
      </c>
      <c r="I20">
        <v>150.09</v>
      </c>
      <c r="L20" t="s">
        <v>13</v>
      </c>
    </row>
    <row r="21" spans="1:14">
      <c r="B21">
        <f>1/1000</f>
        <v>1E-3</v>
      </c>
      <c r="D21">
        <v>1</v>
      </c>
      <c r="F21">
        <v>1E-3</v>
      </c>
      <c r="H21" t="s">
        <v>10</v>
      </c>
      <c r="I21">
        <f>I17*(I15-I16)*(I14/I18)/(I19/I20)</f>
        <v>459.99999999999994</v>
      </c>
    </row>
    <row r="22" spans="1:14">
      <c r="D22">
        <v>44</v>
      </c>
      <c r="F22">
        <f>D22*F21</f>
        <v>4.3999999999999997E-2</v>
      </c>
    </row>
    <row r="24" spans="1:14">
      <c r="G24">
        <f>1.1/5</f>
        <v>0.22000000000000003</v>
      </c>
      <c r="I24">
        <f>0.11/9</f>
        <v>1.2222222222222223E-2</v>
      </c>
    </row>
    <row r="25" spans="1:14">
      <c r="I25">
        <f>1.5/9</f>
        <v>0.16666666666666666</v>
      </c>
    </row>
    <row r="27" spans="1:14">
      <c r="C27">
        <v>10</v>
      </c>
      <c r="D27">
        <v>9</v>
      </c>
      <c r="E27">
        <v>8</v>
      </c>
      <c r="F27">
        <v>7</v>
      </c>
      <c r="G27">
        <v>6</v>
      </c>
      <c r="H27">
        <v>5</v>
      </c>
      <c r="I27">
        <v>4</v>
      </c>
      <c r="J27">
        <v>3</v>
      </c>
      <c r="K27">
        <v>2</v>
      </c>
      <c r="L27">
        <v>1</v>
      </c>
    </row>
    <row r="28" spans="1:14">
      <c r="B28">
        <v>40</v>
      </c>
    </row>
    <row r="29" spans="1:14">
      <c r="B29">
        <v>39</v>
      </c>
      <c r="C29" s="3">
        <v>1.109</v>
      </c>
      <c r="G29">
        <v>0.66600000000000004</v>
      </c>
      <c r="L29">
        <v>0.113</v>
      </c>
      <c r="N29" s="3">
        <f>C29-L29</f>
        <v>0.996</v>
      </c>
    </row>
    <row r="30" spans="1:14">
      <c r="A30">
        <v>1</v>
      </c>
      <c r="B30">
        <v>3.8</v>
      </c>
      <c r="C30">
        <f>$C$29*((1+0.031)^A30)</f>
        <v>1.1433789999999999</v>
      </c>
      <c r="D30">
        <f>$L30*((1+0.02)^D$27)</f>
        <v>0.14395846063110632</v>
      </c>
      <c r="E30">
        <f t="shared" ref="E30:K30" si="0">$L$30*((1+0.02)^E27)</f>
        <v>0.1411357457167709</v>
      </c>
      <c r="F30">
        <f t="shared" si="0"/>
        <v>0.13836837815369696</v>
      </c>
      <c r="G30">
        <f t="shared" si="0"/>
        <v>0.13565527269970293</v>
      </c>
      <c r="H30">
        <f t="shared" si="0"/>
        <v>0.1329953653918656</v>
      </c>
      <c r="I30">
        <f t="shared" si="0"/>
        <v>0.13038761312928002</v>
      </c>
      <c r="J30">
        <f t="shared" si="0"/>
        <v>0.12783099326399999</v>
      </c>
      <c r="K30">
        <f t="shared" si="0"/>
        <v>0.12532450320000002</v>
      </c>
      <c r="L30">
        <f>$L$29*((1+0.066)^A30)</f>
        <v>0.12045800000000001</v>
      </c>
      <c r="M30">
        <f>$L$30*((1+0.02)^D27)</f>
        <v>0.14395846063110632</v>
      </c>
    </row>
    <row r="31" spans="1:14">
      <c r="A31">
        <v>2</v>
      </c>
      <c r="B31">
        <v>3.7</v>
      </c>
      <c r="C31">
        <f t="shared" ref="C31:C38" si="1">$C$29*((1+0.031)^A31)</f>
        <v>1.1788237489999998</v>
      </c>
      <c r="L31">
        <f t="shared" ref="L31:L38" si="2">$L$29*((1+0.066)^A31)</f>
        <v>0.12840822800000001</v>
      </c>
    </row>
    <row r="32" spans="1:14">
      <c r="A32">
        <f>A31+1</f>
        <v>3</v>
      </c>
      <c r="B32">
        <f>B31-0.1</f>
        <v>3.6</v>
      </c>
      <c r="C32">
        <f t="shared" si="1"/>
        <v>1.2153672852189996</v>
      </c>
      <c r="L32">
        <f t="shared" si="2"/>
        <v>0.13688317104800002</v>
      </c>
    </row>
    <row r="33" spans="1:14">
      <c r="A33">
        <f t="shared" ref="A33:A39" si="3">A32+1</f>
        <v>4</v>
      </c>
      <c r="B33">
        <f t="shared" ref="B33:B39" si="4">B32-0.1</f>
        <v>3.5</v>
      </c>
      <c r="C33">
        <f t="shared" si="1"/>
        <v>1.2530436710607886</v>
      </c>
      <c r="L33">
        <f t="shared" si="2"/>
        <v>0.14591746033716804</v>
      </c>
    </row>
    <row r="34" spans="1:14">
      <c r="A34">
        <f t="shared" si="3"/>
        <v>5</v>
      </c>
      <c r="B34">
        <f t="shared" si="4"/>
        <v>3.4</v>
      </c>
      <c r="C34">
        <f t="shared" si="1"/>
        <v>1.291888024863673</v>
      </c>
      <c r="L34">
        <f t="shared" si="2"/>
        <v>0.15554801271942115</v>
      </c>
    </row>
    <row r="35" spans="1:14">
      <c r="A35">
        <f t="shared" si="3"/>
        <v>6</v>
      </c>
      <c r="B35">
        <f t="shared" si="4"/>
        <v>3.3</v>
      </c>
      <c r="C35">
        <f t="shared" si="1"/>
        <v>1.331936553634447</v>
      </c>
      <c r="L35">
        <f t="shared" si="2"/>
        <v>0.16581418155890296</v>
      </c>
    </row>
    <row r="36" spans="1:14">
      <c r="A36">
        <f t="shared" si="3"/>
        <v>7</v>
      </c>
      <c r="B36">
        <f t="shared" si="4"/>
        <v>3.1999999999999997</v>
      </c>
      <c r="C36">
        <f t="shared" si="1"/>
        <v>1.3732265867971145</v>
      </c>
      <c r="L36">
        <f t="shared" si="2"/>
        <v>0.17675791754179054</v>
      </c>
    </row>
    <row r="37" spans="1:14">
      <c r="A37">
        <f t="shared" si="3"/>
        <v>8</v>
      </c>
      <c r="B37">
        <f t="shared" si="4"/>
        <v>3.0999999999999996</v>
      </c>
      <c r="C37">
        <f t="shared" si="1"/>
        <v>1.4157966109878251</v>
      </c>
      <c r="L37">
        <f t="shared" si="2"/>
        <v>0.18842394009954877</v>
      </c>
    </row>
    <row r="38" spans="1:14">
      <c r="A38">
        <f t="shared" si="3"/>
        <v>9</v>
      </c>
      <c r="B38">
        <f t="shared" si="4"/>
        <v>2.9999999999999996</v>
      </c>
      <c r="C38">
        <f t="shared" si="1"/>
        <v>1.4596863059284475</v>
      </c>
      <c r="L38">
        <f t="shared" si="2"/>
        <v>0.200859920146119</v>
      </c>
    </row>
    <row r="39" spans="1:14">
      <c r="A39">
        <f t="shared" si="3"/>
        <v>10</v>
      </c>
      <c r="B39">
        <f t="shared" si="4"/>
        <v>2.8999999999999995</v>
      </c>
      <c r="C39" s="3">
        <v>1.5049999999999999</v>
      </c>
      <c r="G39">
        <v>0.93200000000000005</v>
      </c>
      <c r="K39">
        <f t="shared" ref="K39" si="5">$L39*((1+0.02)^K$27)</f>
        <v>0.223686</v>
      </c>
      <c r="L39">
        <v>0.215</v>
      </c>
      <c r="N39" s="3">
        <f>C39-L39</f>
        <v>1.2899999999999998</v>
      </c>
    </row>
    <row r="41" spans="1:14">
      <c r="C41">
        <v>30</v>
      </c>
      <c r="D41">
        <v>5</v>
      </c>
      <c r="E41">
        <v>3</v>
      </c>
      <c r="F41">
        <v>2</v>
      </c>
      <c r="G41">
        <v>1</v>
      </c>
      <c r="K41">
        <f>$C$29*((1+0.031)^A30)</f>
        <v>1.1433789999999999</v>
      </c>
      <c r="M41">
        <f>$L$29*((1+0.066)^10)</f>
        <v>0.21411667487576286</v>
      </c>
    </row>
    <row r="42" spans="1:14">
      <c r="C42" s="3">
        <f>SUM(C29:C39)</f>
        <v>14.277147787491295</v>
      </c>
    </row>
    <row r="43" spans="1:14">
      <c r="B43" t="s">
        <v>14</v>
      </c>
    </row>
    <row r="44" spans="1:14">
      <c r="B44" t="s">
        <v>22</v>
      </c>
      <c r="J44" t="s">
        <v>15</v>
      </c>
    </row>
    <row r="45" spans="1:14">
      <c r="B45" t="s">
        <v>23</v>
      </c>
      <c r="J45" t="s">
        <v>16</v>
      </c>
    </row>
    <row r="46" spans="1:14">
      <c r="B46" t="s">
        <v>24</v>
      </c>
      <c r="J46" t="s">
        <v>17</v>
      </c>
    </row>
    <row r="47" spans="1:14">
      <c r="B47" t="s">
        <v>25</v>
      </c>
      <c r="J47" t="s">
        <v>18</v>
      </c>
    </row>
    <row r="48" spans="1:14">
      <c r="B48" t="s">
        <v>26</v>
      </c>
      <c r="J48" t="s">
        <v>19</v>
      </c>
    </row>
    <row r="49" spans="2:15">
      <c r="J49" t="s">
        <v>20</v>
      </c>
    </row>
    <row r="50" spans="2:15">
      <c r="J50" t="s">
        <v>21</v>
      </c>
    </row>
    <row r="52" spans="2:15">
      <c r="N52" s="6">
        <f>LOG(10)</f>
        <v>1</v>
      </c>
    </row>
    <row r="53" spans="2:15" ht="18">
      <c r="B53" t="s">
        <v>27</v>
      </c>
      <c r="C53" t="s">
        <v>28</v>
      </c>
      <c r="M53" t="s">
        <v>52</v>
      </c>
      <c r="N53">
        <v>10</v>
      </c>
      <c r="O53" t="s">
        <v>55</v>
      </c>
    </row>
    <row r="54" spans="2:15">
      <c r="M54" t="s">
        <v>53</v>
      </c>
      <c r="N54">
        <v>4</v>
      </c>
    </row>
    <row r="55" spans="2:15">
      <c r="M55" t="s">
        <v>54</v>
      </c>
      <c r="N55">
        <v>3.9</v>
      </c>
    </row>
    <row r="56" spans="2:15">
      <c r="K56" t="s">
        <v>29</v>
      </c>
      <c r="N56" s="4">
        <v>1E-14</v>
      </c>
      <c r="O56" t="s">
        <v>31</v>
      </c>
    </row>
    <row r="57" spans="2:15">
      <c r="K57" t="s">
        <v>30</v>
      </c>
      <c r="N57">
        <v>40</v>
      </c>
    </row>
    <row r="58" spans="2:15">
      <c r="J58" t="s">
        <v>43</v>
      </c>
      <c r="K58" t="s">
        <v>32</v>
      </c>
      <c r="N58" t="e">
        <f>EXP(LOG(10) * (-n))</f>
        <v>#NAME?</v>
      </c>
      <c r="O58" t="s">
        <v>44</v>
      </c>
    </row>
    <row r="59" spans="2:15">
      <c r="K59" t="s">
        <v>33</v>
      </c>
      <c r="N59">
        <v>8.3000000000000007</v>
      </c>
    </row>
    <row r="60" spans="2:15">
      <c r="J60" t="s">
        <v>34</v>
      </c>
      <c r="K60" s="5"/>
      <c r="N60">
        <v>0.99704400000000004</v>
      </c>
      <c r="O60" t="s">
        <v>35</v>
      </c>
    </row>
    <row r="61" spans="2:15">
      <c r="J61" t="s">
        <v>91</v>
      </c>
      <c r="K61" s="5"/>
      <c r="N61">
        <v>8.3000000000000007</v>
      </c>
    </row>
    <row r="62" spans="2:15">
      <c r="L62" t="s">
        <v>36</v>
      </c>
      <c r="M62" t="s">
        <v>37</v>
      </c>
      <c r="N62">
        <v>150.09</v>
      </c>
    </row>
    <row r="63" spans="2:15">
      <c r="L63" t="s">
        <v>36</v>
      </c>
      <c r="M63" t="s">
        <v>38</v>
      </c>
      <c r="N63">
        <v>134.09</v>
      </c>
    </row>
    <row r="64" spans="2:15">
      <c r="L64" t="s">
        <v>36</v>
      </c>
      <c r="M64" t="s">
        <v>39</v>
      </c>
      <c r="N64">
        <v>118.09</v>
      </c>
    </row>
    <row r="65" spans="7:15">
      <c r="L65" t="s">
        <v>36</v>
      </c>
      <c r="M65" t="s">
        <v>40</v>
      </c>
      <c r="N65">
        <v>90.08</v>
      </c>
    </row>
    <row r="66" spans="7:15">
      <c r="L66" t="s">
        <v>36</v>
      </c>
      <c r="M66" t="s">
        <v>41</v>
      </c>
      <c r="N66">
        <v>192.12</v>
      </c>
    </row>
    <row r="67" spans="7:15">
      <c r="L67" t="s">
        <v>36</v>
      </c>
      <c r="M67" t="s">
        <v>42</v>
      </c>
      <c r="N67">
        <v>60.06</v>
      </c>
    </row>
    <row r="68" spans="7:15">
      <c r="H68" t="s">
        <v>45</v>
      </c>
      <c r="J68" t="s">
        <v>47</v>
      </c>
      <c r="N68">
        <f>(N62/(N69*N60))</f>
        <v>150.53498140503328</v>
      </c>
      <c r="O68" t="s">
        <v>48</v>
      </c>
    </row>
    <row r="69" spans="7:15">
      <c r="M69" t="s">
        <v>46</v>
      </c>
      <c r="N69">
        <v>1</v>
      </c>
    </row>
    <row r="70" spans="7:15">
      <c r="H70" t="s">
        <v>49</v>
      </c>
      <c r="J70" t="s">
        <v>51</v>
      </c>
      <c r="N70">
        <f>N68*N69*N60</f>
        <v>150.09</v>
      </c>
      <c r="O70" t="s">
        <v>50</v>
      </c>
    </row>
    <row r="72" spans="7:15">
      <c r="K72" t="s">
        <v>56</v>
      </c>
      <c r="N72">
        <f>2*N53/N62</f>
        <v>0.13325338130455061</v>
      </c>
    </row>
    <row r="73" spans="7:15">
      <c r="M73" t="s">
        <v>57</v>
      </c>
      <c r="N73" s="6">
        <f>EXP(LOG(10) * (-N54))</f>
        <v>1.8315638888734179E-2</v>
      </c>
    </row>
    <row r="74" spans="7:15">
      <c r="G74" t="s">
        <v>69</v>
      </c>
      <c r="J74">
        <v>0</v>
      </c>
    </row>
    <row r="75" spans="7:15">
      <c r="G75" t="s">
        <v>70</v>
      </c>
      <c r="J75">
        <v>1</v>
      </c>
      <c r="L75" t="s">
        <v>58</v>
      </c>
      <c r="N75">
        <v>50</v>
      </c>
    </row>
    <row r="76" spans="7:15">
      <c r="G76" t="s">
        <v>71</v>
      </c>
      <c r="J76">
        <v>2</v>
      </c>
      <c r="L76" t="s">
        <v>59</v>
      </c>
      <c r="N76">
        <v>30</v>
      </c>
    </row>
    <row r="77" spans="7:15">
      <c r="G77" t="s">
        <v>72</v>
      </c>
      <c r="J77">
        <v>3</v>
      </c>
      <c r="L77" t="s">
        <v>60</v>
      </c>
      <c r="N77">
        <v>4</v>
      </c>
    </row>
    <row r="78" spans="7:15">
      <c r="G78" t="s">
        <v>73</v>
      </c>
      <c r="J78">
        <v>4</v>
      </c>
      <c r="L78" t="s">
        <v>61</v>
      </c>
      <c r="N78">
        <v>5</v>
      </c>
    </row>
    <row r="79" spans="7:15">
      <c r="G79" t="s">
        <v>74</v>
      </c>
      <c r="J79">
        <v>5</v>
      </c>
      <c r="L79" t="s">
        <v>62</v>
      </c>
      <c r="N79">
        <v>10</v>
      </c>
    </row>
    <row r="80" spans="7:15">
      <c r="G80" t="s">
        <v>75</v>
      </c>
      <c r="J80">
        <v>10</v>
      </c>
      <c r="L80" t="s">
        <v>63</v>
      </c>
      <c r="N80">
        <v>1</v>
      </c>
    </row>
    <row r="81" spans="6:14">
      <c r="G81" t="s">
        <v>76</v>
      </c>
      <c r="J81">
        <v>11</v>
      </c>
      <c r="L81" t="s">
        <v>64</v>
      </c>
      <c r="N81">
        <v>6.5</v>
      </c>
    </row>
    <row r="82" spans="6:14">
      <c r="G82" t="s">
        <v>77</v>
      </c>
      <c r="J82">
        <v>12</v>
      </c>
      <c r="L82" t="s">
        <v>65</v>
      </c>
      <c r="N82">
        <v>3.5</v>
      </c>
    </row>
    <row r="83" spans="6:14">
      <c r="G83" t="s">
        <v>78</v>
      </c>
      <c r="J83">
        <v>13</v>
      </c>
      <c r="L83" t="s">
        <v>66</v>
      </c>
      <c r="N83">
        <v>3.3</v>
      </c>
    </row>
    <row r="84" spans="6:14">
      <c r="L84" t="s">
        <v>67</v>
      </c>
      <c r="N84" s="7">
        <v>1</v>
      </c>
    </row>
    <row r="85" spans="6:14">
      <c r="L85" t="s">
        <v>68</v>
      </c>
      <c r="N85">
        <v>10</v>
      </c>
    </row>
    <row r="86" spans="6:14">
      <c r="I86" t="s">
        <v>83</v>
      </c>
    </row>
    <row r="87" spans="6:14">
      <c r="I87" t="s">
        <v>84</v>
      </c>
      <c r="L87" t="s">
        <v>85</v>
      </c>
      <c r="N87">
        <f>SUM(N76:N80)</f>
        <v>50</v>
      </c>
    </row>
    <row r="88" spans="6:14">
      <c r="L88" t="s">
        <v>86</v>
      </c>
      <c r="N88" s="7">
        <f>LOG(10)</f>
        <v>1</v>
      </c>
    </row>
    <row r="89" spans="6:14">
      <c r="N89" s="7"/>
    </row>
    <row r="90" spans="6:14">
      <c r="F90" t="s">
        <v>87</v>
      </c>
      <c r="N90" s="7">
        <v>100.12</v>
      </c>
    </row>
    <row r="91" spans="6:14">
      <c r="F91" t="s">
        <v>88</v>
      </c>
      <c r="N91" s="7">
        <v>40</v>
      </c>
    </row>
    <row r="92" spans="6:14">
      <c r="F92" t="s">
        <v>89</v>
      </c>
      <c r="N92" s="7">
        <v>1E-14</v>
      </c>
    </row>
    <row r="93" spans="6:14">
      <c r="F93" t="s">
        <v>90</v>
      </c>
      <c r="N93" s="7">
        <v>1000</v>
      </c>
    </row>
    <row r="97" spans="5:14">
      <c r="L97" t="s">
        <v>79</v>
      </c>
      <c r="N97">
        <f>N81/(N84*N60)</f>
        <v>6.5192709649724581</v>
      </c>
    </row>
    <row r="98" spans="5:14">
      <c r="K98" t="s">
        <v>80</v>
      </c>
      <c r="N98">
        <f>2*N97/N62</f>
        <v>8.6871489972316043E-2</v>
      </c>
    </row>
    <row r="99" spans="5:14">
      <c r="K99" t="s">
        <v>81</v>
      </c>
      <c r="N99">
        <f>N82</f>
        <v>3.5</v>
      </c>
    </row>
    <row r="100" spans="5:14">
      <c r="K100" t="s">
        <v>82</v>
      </c>
      <c r="N100">
        <f>EXP(LOG(10) * (-N99))</f>
        <v>3.0197383422318501E-2</v>
      </c>
    </row>
    <row r="102" spans="5:14">
      <c r="E102" t="s">
        <v>92</v>
      </c>
      <c r="N102">
        <f>EXP(LOG(10) * (-2.98))</f>
        <v>5.0792833864898503E-2</v>
      </c>
    </row>
    <row r="103" spans="5:14">
      <c r="E103" t="s">
        <v>93</v>
      </c>
      <c r="N103">
        <f>EXP(LOG(10) * (-4.64))</f>
        <v>9.6576976275377768E-3</v>
      </c>
    </row>
    <row r="104" spans="5:14">
      <c r="E104" t="s">
        <v>94</v>
      </c>
    </row>
    <row r="105" spans="5:14">
      <c r="E105" t="s">
        <v>95</v>
      </c>
    </row>
    <row r="106" spans="5:14">
      <c r="E106" t="s">
        <v>96</v>
      </c>
    </row>
    <row r="107" spans="5:14">
      <c r="E107" t="s">
        <v>97</v>
      </c>
      <c r="N107">
        <f>EXP(LOG(10) * (-3.4))</f>
        <v>3.337326996032608E-2</v>
      </c>
    </row>
    <row r="108" spans="5:14">
      <c r="E108" t="s">
        <v>98</v>
      </c>
      <c r="N108">
        <f>EXP(LOG(10) * (-5.05))</f>
        <v>6.4093334462563831E-3</v>
      </c>
    </row>
    <row r="109" spans="5:14">
      <c r="E109" t="s">
        <v>99</v>
      </c>
    </row>
    <row r="110" spans="5:14">
      <c r="E110" t="s">
        <v>100</v>
      </c>
    </row>
    <row r="111" spans="5:14">
      <c r="E111" t="s">
        <v>96</v>
      </c>
    </row>
    <row r="112" spans="5:14">
      <c r="E112" t="s">
        <v>101</v>
      </c>
      <c r="N112">
        <f>EXP(LOG(10) * (-3.13))</f>
        <v>4.3717797252750941E-2</v>
      </c>
    </row>
    <row r="113" spans="5:14">
      <c r="E113" t="s">
        <v>102</v>
      </c>
      <c r="N113">
        <f>EXP(LOG(10) * (-4.76))</f>
        <v>8.5656093974980606E-3</v>
      </c>
    </row>
    <row r="114" spans="5:14">
      <c r="E114" t="s">
        <v>103</v>
      </c>
      <c r="N114">
        <f>EXP(LOG(10) * (-5.4))</f>
        <v>4.5165809426126659E-3</v>
      </c>
    </row>
    <row r="115" spans="5:14">
      <c r="E115" t="s">
        <v>104</v>
      </c>
    </row>
    <row r="116" spans="5:14">
      <c r="E116" t="s">
        <v>96</v>
      </c>
    </row>
    <row r="117" spans="5:14">
      <c r="E117" t="s">
        <v>105</v>
      </c>
      <c r="N117">
        <f>EXP(LOG(10) * (-4.16))</f>
        <v>1.5607557919982831E-2</v>
      </c>
    </row>
    <row r="118" spans="5:14">
      <c r="E118" t="s">
        <v>106</v>
      </c>
      <c r="N118">
        <f>EXP(LOG(10) * (-5.57))</f>
        <v>3.810480432592037E-3</v>
      </c>
    </row>
    <row r="119" spans="5:14">
      <c r="E119" t="s">
        <v>107</v>
      </c>
    </row>
    <row r="120" spans="5:14">
      <c r="E120" t="s">
        <v>108</v>
      </c>
    </row>
    <row r="121" spans="5:14">
      <c r="E121" t="s">
        <v>96</v>
      </c>
    </row>
    <row r="122" spans="5:14">
      <c r="E122" t="s">
        <v>109</v>
      </c>
      <c r="N122">
        <f>EXP(LOG(10) * (-3.86))</f>
        <v>2.1067999523041434E-2</v>
      </c>
    </row>
    <row r="123" spans="5:14">
      <c r="E123" t="s">
        <v>110</v>
      </c>
    </row>
    <row r="124" spans="5:14">
      <c r="E124" t="s">
        <v>111</v>
      </c>
    </row>
    <row r="125" spans="5:14">
      <c r="E125" t="s">
        <v>112</v>
      </c>
    </row>
    <row r="126" spans="5:14">
      <c r="E126" t="s">
        <v>96</v>
      </c>
    </row>
    <row r="127" spans="5:14">
      <c r="E127" t="s">
        <v>113</v>
      </c>
      <c r="N127">
        <f>EXP(LOG(10) * (-4.75))</f>
        <v>8.6516952031206341E-3</v>
      </c>
    </row>
    <row r="128" spans="5:14">
      <c r="E128" t="s">
        <v>114</v>
      </c>
    </row>
    <row r="129" spans="5:5">
      <c r="E129" t="s">
        <v>115</v>
      </c>
    </row>
    <row r="130" spans="5:5">
      <c r="E130" t="s">
        <v>116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Dagmar Dos Santos</cp:lastModifiedBy>
  <dcterms:created xsi:type="dcterms:W3CDTF">2010-12-10T19:11:58Z</dcterms:created>
  <dcterms:modified xsi:type="dcterms:W3CDTF">2010-12-14T18:54:39Z</dcterms:modified>
</cp:coreProperties>
</file>