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180" windowHeight="8085"/>
  </bookViews>
  <sheets>
    <sheet name="Sheet1" sheetId="1" r:id="rId1"/>
    <sheet name="Sheet2" sheetId="2" r:id="rId2"/>
    <sheet name="Sheet3" sheetId="3" r:id="rId3"/>
    <sheet name="Sheet4" sheetId="4" r:id="rId4"/>
  </sheets>
  <calcPr calcId="125725"/>
</workbook>
</file>

<file path=xl/calcChain.xml><?xml version="1.0" encoding="utf-8"?>
<calcChain xmlns="http://schemas.openxmlformats.org/spreadsheetml/2006/main">
  <c r="H10" i="1"/>
  <c r="H12"/>
  <c r="A25" l="1"/>
  <c r="A14" l="1"/>
  <c r="J2"/>
  <c r="J12"/>
  <c r="J13" s="1"/>
  <c r="H9"/>
  <c r="H8"/>
  <c r="J7"/>
  <c r="J8" s="1"/>
  <c r="J3"/>
  <c r="J4" s="1"/>
  <c r="A15" l="1"/>
  <c r="A26" s="1"/>
  <c r="A27" s="1"/>
  <c r="B29" s="1"/>
  <c r="A16"/>
  <c r="J9"/>
  <c r="J10" s="1"/>
  <c r="K10" s="1"/>
  <c r="G16"/>
  <c r="B2"/>
  <c r="J14"/>
  <c r="B28" l="1"/>
  <c r="G22" s="1"/>
  <c r="G21"/>
  <c r="G19"/>
  <c r="G25" s="1"/>
  <c r="G26"/>
  <c r="B4"/>
  <c r="B6" s="1"/>
  <c r="B9" s="1"/>
  <c r="A13" l="1"/>
  <c r="J5"/>
  <c r="G20"/>
  <c r="G17"/>
  <c r="A17" l="1"/>
  <c r="A18" s="1"/>
  <c r="B18" s="1"/>
  <c r="G27" s="1"/>
  <c r="G18" l="1"/>
  <c r="G24" l="1"/>
  <c r="B19"/>
  <c r="B20" s="1"/>
  <c r="B21" s="1"/>
  <c r="B23" s="1"/>
  <c r="G28" s="1"/>
  <c r="H28" s="1"/>
  <c r="G23"/>
</calcChain>
</file>

<file path=xl/comments1.xml><?xml version="1.0" encoding="utf-8"?>
<comments xmlns="http://schemas.openxmlformats.org/spreadsheetml/2006/main">
  <authors>
    <author>Paul</author>
  </authors>
  <commentList>
    <comment ref="F1" authorId="0">
      <text>
        <r>
          <rPr>
            <sz val="8"/>
            <color indexed="81"/>
            <rFont val="Tahoma"/>
            <family val="2"/>
          </rPr>
          <t xml:space="preserve">Wait 24+ hours after crush to take initial measurements.  Do at least 2 punch downs or a full pump over before initial measurements.  
Crush in food processor,,,,,,,  filter…..  Bla bla bla
</t>
        </r>
      </text>
    </comment>
    <comment ref="F15" authorId="0">
      <text>
        <r>
          <rPr>
            <sz val="8"/>
            <color indexed="81"/>
            <rFont val="Tahoma"/>
            <family val="2"/>
          </rPr>
          <t xml:space="preserve">Lowering TA before fermentation would only be recommended if PH was extreemely low (less than 3.2), as during fermentation, PH tends to rise and TA tends to fall.
Acid additions should ALWAYS be bench tested for inpact on PH and taste tested for inpact on flavor.
Bench testing of Tartaric additions is as follows.  Poor exacly 100 ml of wine sample.  Draw exactly 1 ml seringe of a 1/10 solution of tartaric (1 gram in 100 ml). Drop that into the 100 ml of wine. Stirr theroly and take a ph reading.  The amount of PH drop is equal to the result of adding 1 gram per liter of tartaric to your must.  Count how many 1 ml seringes you droped and that is the amount of g/l of tartaric needed.
Now taste test the result.
NEVER do a full adjustment.  Do 1/2 or in the case of a very large adjustment 1/3 and then re-test.
Acid Adjustments for PH controll MUST be done either before fermentation starts OR after it is done as PH reading during fermentation are wrong unless the wine sample is degassed.
Sugar additions OR watewr additions should also be done prior to fermentation start.
</t>
        </r>
        <r>
          <rPr>
            <b/>
            <sz val="8"/>
            <color indexed="81"/>
            <rFont val="Tahoma"/>
            <family val="2"/>
          </rPr>
          <t>ISOLATED ADJUSTMENTS TO TA OR PH ARE NOT RECOMENDED.  SEE HOLISTIC ADJUSTMENTS TO THE RIGHT OF THESE.</t>
        </r>
        <r>
          <rPr>
            <sz val="8"/>
            <color indexed="81"/>
            <rFont val="Tahoma"/>
            <family val="2"/>
          </rPr>
          <t xml:space="preserve">
</t>
        </r>
      </text>
    </comment>
    <comment ref="G18" authorId="0">
      <text>
        <r>
          <rPr>
            <sz val="9"/>
            <color indexed="81"/>
            <rFont val="Tahoma"/>
            <family val="2"/>
          </rPr>
          <t xml:space="preserve">
Lowering TA by adding Potasium Carbonate before Fermentation would NOT be recommended UNLESS PH was very low (under 3.2), since PH will tend to rise and TA tends to fall during the wine making process.
</t>
        </r>
      </text>
    </comment>
  </commentList>
</comments>
</file>

<file path=xl/sharedStrings.xml><?xml version="1.0" encoding="utf-8"?>
<sst xmlns="http://schemas.openxmlformats.org/spreadsheetml/2006/main" count="67" uniqueCount="66">
  <si>
    <t>Initial PH</t>
  </si>
  <si>
    <t>Initial Brix</t>
  </si>
  <si>
    <t>Initial TA</t>
  </si>
  <si>
    <t>Target ABV</t>
  </si>
  <si>
    <t>Probable Finished Volume Liters</t>
  </si>
  <si>
    <t>Probable Finished Volume Gallons</t>
  </si>
  <si>
    <t>Probable finished ABV</t>
  </si>
  <si>
    <t>Probable PH Post Fermentation</t>
  </si>
  <si>
    <t>Probable PH Post Malolatic</t>
  </si>
  <si>
    <t>Probable PH Post Could Stabilizing</t>
  </si>
  <si>
    <t>Probable TA Post Malolatic</t>
  </si>
  <si>
    <t>Probable TA Post CS</t>
  </si>
  <si>
    <t>Probable Finished PH</t>
  </si>
  <si>
    <t>Probable Finish TA</t>
  </si>
  <si>
    <t>Output From Original Data</t>
  </si>
  <si>
    <r>
      <t xml:space="preserve">Gross Must Liters </t>
    </r>
    <r>
      <rPr>
        <sz val="8"/>
        <color theme="8" tint="-0.249977111117893"/>
        <rFont val="Calibri"/>
        <family val="2"/>
        <scheme val="minor"/>
      </rPr>
      <t>(1 G = 3.78541178 L)</t>
    </r>
  </si>
  <si>
    <t>Pre or Post Fermentation 1=Pre 0 = Post</t>
  </si>
  <si>
    <t>Pre or Post Malolatic 1=Pre 0=Post</t>
  </si>
  <si>
    <t>Pre or Post CS 1=Pre 0=Post</t>
  </si>
  <si>
    <t>??</t>
  </si>
  <si>
    <t xml:space="preserve"> </t>
  </si>
  <si>
    <r>
      <t xml:space="preserve">Berry type </t>
    </r>
    <r>
      <rPr>
        <sz val="8"/>
        <color theme="8" tint="-0.249977111117893"/>
        <rFont val="Calibri"/>
        <family val="2"/>
        <scheme val="minor"/>
      </rPr>
      <t>(0 for small cab 1 for bigger berries)</t>
    </r>
  </si>
  <si>
    <t>Starting Specific Gravity</t>
  </si>
  <si>
    <t>Current Volume of Acid in Grams</t>
  </si>
  <si>
    <t>Sgi</t>
  </si>
  <si>
    <t>sgc=</t>
  </si>
  <si>
    <t>Sgi-.007</t>
  </si>
  <si>
    <t xml:space="preserve">F = 7.75 - 3000(sgc - 1.0)/800 </t>
  </si>
  <si>
    <t xml:space="preserve">F </t>
  </si>
  <si>
    <t>Sgf</t>
  </si>
  <si>
    <r>
      <t>a</t>
    </r>
    <r>
      <rPr>
        <i/>
        <vertAlign val="subscript"/>
        <sz val="10"/>
        <color theme="1"/>
        <rFont val="Times New Roman"/>
        <family val="1"/>
      </rPr>
      <t>p</t>
    </r>
    <r>
      <rPr>
        <sz val="10"/>
        <color theme="1"/>
        <rFont val="Times New Roman"/>
        <family val="1"/>
      </rPr>
      <t xml:space="preserve"> = 1000(</t>
    </r>
    <r>
      <rPr>
        <i/>
        <sz val="10"/>
        <color theme="1"/>
        <rFont val="Times New Roman"/>
        <family val="1"/>
      </rPr>
      <t>sg</t>
    </r>
    <r>
      <rPr>
        <i/>
        <vertAlign val="subscript"/>
        <sz val="10"/>
        <color theme="1"/>
        <rFont val="Times New Roman"/>
        <family val="1"/>
      </rPr>
      <t>i</t>
    </r>
    <r>
      <rPr>
        <sz val="10"/>
        <color theme="1"/>
        <rFont val="Times New Roman"/>
        <family val="1"/>
      </rPr>
      <t xml:space="preserve"> - </t>
    </r>
    <r>
      <rPr>
        <i/>
        <sz val="10"/>
        <color theme="1"/>
        <rFont val="Times New Roman"/>
        <family val="1"/>
      </rPr>
      <t>sg</t>
    </r>
    <r>
      <rPr>
        <i/>
        <vertAlign val="subscript"/>
        <sz val="10"/>
        <color theme="1"/>
        <rFont val="Times New Roman"/>
        <family val="1"/>
      </rPr>
      <t>f</t>
    </r>
    <r>
      <rPr>
        <sz val="10"/>
        <color theme="1"/>
        <rFont val="Times New Roman"/>
        <family val="1"/>
      </rPr>
      <t>)/</t>
    </r>
    <r>
      <rPr>
        <i/>
        <sz val="10"/>
        <color theme="1"/>
        <rFont val="Times New Roman"/>
        <family val="1"/>
      </rPr>
      <t>F</t>
    </r>
  </si>
  <si>
    <t xml:space="preserve">ap = </t>
  </si>
  <si>
    <t>Or in Gallons</t>
  </si>
  <si>
    <t>Projected TA After Adjustment</t>
  </si>
  <si>
    <t>Projected Final ABV</t>
  </si>
  <si>
    <t>Projected PH After Adjustment</t>
  </si>
  <si>
    <t>SG from Abv</t>
  </si>
  <si>
    <t>Projected Final Volume in Liters</t>
  </si>
  <si>
    <t>Target sg</t>
  </si>
  <si>
    <t>Target brix</t>
  </si>
  <si>
    <t>Final abv</t>
  </si>
  <si>
    <t>TA + Tartaric</t>
  </si>
  <si>
    <t>Total Grams of Tartaric Acid to Add</t>
  </si>
  <si>
    <t>Total Grams of Potasium Carbonate to add</t>
  </si>
  <si>
    <t>Total Destilled Litters H2O To add</t>
  </si>
  <si>
    <t>Projected Final TA Post MLF &amp; CS</t>
  </si>
  <si>
    <t>Projected Final PH Post MLF &amp; CS</t>
  </si>
  <si>
    <t>PH post Ferment</t>
  </si>
  <si>
    <t>PH Post MLF</t>
  </si>
  <si>
    <t>PH Post CS</t>
  </si>
  <si>
    <t>PH After Adjustment</t>
  </si>
  <si>
    <t>Total Grams of sugar to add</t>
  </si>
  <si>
    <t>SUGAR ADD</t>
  </si>
  <si>
    <t>current  G/L sugar</t>
  </si>
  <si>
    <t>Future g/l sugar</t>
  </si>
  <si>
    <t>Sugar G to add</t>
  </si>
  <si>
    <t>Or in Pounds</t>
  </si>
  <si>
    <t>Must increase</t>
  </si>
  <si>
    <r>
      <t xml:space="preserve">Target </t>
    </r>
    <r>
      <rPr>
        <b/>
        <sz val="10"/>
        <color rgb="FF00B0F0"/>
        <rFont val="Calibri"/>
        <family val="2"/>
        <scheme val="minor"/>
      </rPr>
      <t>Initial</t>
    </r>
    <r>
      <rPr>
        <b/>
        <sz val="10"/>
        <color theme="8" tint="-0.499984740745262"/>
        <rFont val="Calibri"/>
        <family val="2"/>
        <scheme val="minor"/>
      </rPr>
      <t xml:space="preserve"> TA</t>
    </r>
  </si>
  <si>
    <r>
      <t xml:space="preserve">Target </t>
    </r>
    <r>
      <rPr>
        <b/>
        <sz val="10"/>
        <color rgb="FFFF0000"/>
        <rFont val="Calibri"/>
        <family val="2"/>
        <scheme val="minor"/>
      </rPr>
      <t>Final</t>
    </r>
    <r>
      <rPr>
        <b/>
        <sz val="10"/>
        <color theme="8" tint="-0.499984740745262"/>
        <rFont val="Calibri"/>
        <family val="2"/>
        <scheme val="minor"/>
      </rPr>
      <t xml:space="preserve"> TA</t>
    </r>
  </si>
  <si>
    <r>
      <t xml:space="preserve">Target </t>
    </r>
    <r>
      <rPr>
        <b/>
        <sz val="10"/>
        <color rgb="FF00B0F0"/>
        <rFont val="Calibri"/>
        <family val="2"/>
        <scheme val="minor"/>
      </rPr>
      <t xml:space="preserve">Initial </t>
    </r>
    <r>
      <rPr>
        <b/>
        <sz val="10"/>
        <color theme="8" tint="-0.499984740745262"/>
        <rFont val="Calibri"/>
        <family val="2"/>
        <scheme val="minor"/>
      </rPr>
      <t>PH</t>
    </r>
  </si>
  <si>
    <r>
      <t xml:space="preserve">Target </t>
    </r>
    <r>
      <rPr>
        <b/>
        <sz val="10"/>
        <color rgb="FFFF0000"/>
        <rFont val="Calibri"/>
        <family val="2"/>
        <scheme val="minor"/>
      </rPr>
      <t xml:space="preserve">Final </t>
    </r>
    <r>
      <rPr>
        <b/>
        <sz val="10"/>
        <color theme="8" tint="-0.499984740745262"/>
        <rFont val="Calibri"/>
        <family val="2"/>
        <scheme val="minor"/>
      </rPr>
      <t>PH</t>
    </r>
  </si>
  <si>
    <t>Solve for target PH's &amp;Or ABV</t>
  </si>
  <si>
    <t>*</t>
  </si>
  <si>
    <r>
      <t xml:space="preserve">                 Collecting Original Data </t>
    </r>
    <r>
      <rPr>
        <b/>
        <sz val="8"/>
        <color theme="5" tint="-0.499984740745262"/>
        <rFont val="Calibri"/>
        <family val="2"/>
        <scheme val="minor"/>
      </rPr>
      <t>(</t>
    </r>
    <r>
      <rPr>
        <b/>
        <sz val="8"/>
        <color rgb="FFFF0000"/>
        <rFont val="Calibri"/>
        <family val="2"/>
        <scheme val="minor"/>
      </rPr>
      <t>hover for instructions</t>
    </r>
    <r>
      <rPr>
        <b/>
        <sz val="8"/>
        <color theme="5" tint="-0.499984740745262"/>
        <rFont val="Calibri"/>
        <family val="2"/>
        <scheme val="minor"/>
      </rPr>
      <t>)</t>
    </r>
  </si>
  <si>
    <r>
      <t xml:space="preserve">              Solve For</t>
    </r>
    <r>
      <rPr>
        <b/>
        <sz val="12"/>
        <color rgb="FFFF0000"/>
        <rFont val="Calibri"/>
        <family val="2"/>
        <scheme val="minor"/>
      </rPr>
      <t xml:space="preserve"> </t>
    </r>
    <r>
      <rPr>
        <sz val="12"/>
        <color rgb="FFFF0000"/>
        <rFont val="Calibri"/>
        <family val="2"/>
        <scheme val="minor"/>
      </rPr>
      <t>Initial</t>
    </r>
    <r>
      <rPr>
        <b/>
        <sz val="14"/>
        <color rgb="FFFF0000"/>
        <rFont val="Calibri"/>
        <family val="2"/>
        <scheme val="minor"/>
      </rPr>
      <t xml:space="preserve"> </t>
    </r>
    <r>
      <rPr>
        <b/>
        <sz val="10"/>
        <color theme="5" tint="-0.499984740745262"/>
        <rFont val="Calibri"/>
        <family val="2"/>
        <scheme val="minor"/>
      </rPr>
      <t>TA &amp;Or ABV (</t>
    </r>
    <r>
      <rPr>
        <b/>
        <sz val="10"/>
        <color rgb="FFFF0000"/>
        <rFont val="Calibri"/>
        <family val="2"/>
        <scheme val="minor"/>
      </rPr>
      <t>hover for instructions</t>
    </r>
    <r>
      <rPr>
        <b/>
        <sz val="10"/>
        <color theme="5" tint="-0.499984740745262"/>
        <rFont val="Calibri"/>
        <family val="2"/>
        <scheme val="minor"/>
      </rPr>
      <t>)</t>
    </r>
  </si>
</sst>
</file>

<file path=xl/styles.xml><?xml version="1.0" encoding="utf-8"?>
<styleSheet xmlns="http://schemas.openxmlformats.org/spreadsheetml/2006/main">
  <numFmts count="8">
    <numFmt numFmtId="164" formatCode="0.0000"/>
    <numFmt numFmtId="165" formatCode="0.0"/>
    <numFmt numFmtId="166" formatCode="0.00000"/>
    <numFmt numFmtId="167" formatCode="0.0%"/>
    <numFmt numFmtId="168" formatCode="0.00000000"/>
    <numFmt numFmtId="169" formatCode="0.0000000000000000000"/>
    <numFmt numFmtId="170" formatCode="0.00000000000"/>
    <numFmt numFmtId="171" formatCode="0.000"/>
  </numFmts>
  <fonts count="40">
    <font>
      <sz val="11"/>
      <color theme="1"/>
      <name val="Calibri"/>
      <family val="2"/>
      <scheme val="minor"/>
    </font>
    <font>
      <sz val="11"/>
      <color rgb="FFFF0000"/>
      <name val="Calibri"/>
      <family val="2"/>
      <scheme val="minor"/>
    </font>
    <font>
      <sz val="9"/>
      <color theme="1"/>
      <name val="Calibri"/>
      <family val="2"/>
      <scheme val="minor"/>
    </font>
    <font>
      <sz val="8"/>
      <color theme="1"/>
      <name val="Calibri"/>
      <family val="2"/>
      <scheme val="minor"/>
    </font>
    <font>
      <sz val="8"/>
      <color theme="8" tint="-0.249977111117893"/>
      <name val="Calibri"/>
      <family val="2"/>
      <scheme val="minor"/>
    </font>
    <font>
      <sz val="8"/>
      <color rgb="FF002060"/>
      <name val="Calibri"/>
      <family val="2"/>
      <scheme val="minor"/>
    </font>
    <font>
      <sz val="10"/>
      <color theme="8" tint="-0.249977111117893"/>
      <name val="Calibri"/>
      <family val="2"/>
      <scheme val="minor"/>
    </font>
    <font>
      <b/>
      <sz val="11"/>
      <color rgb="FFFF0000"/>
      <name val="Calibri"/>
      <family val="2"/>
      <scheme val="minor"/>
    </font>
    <font>
      <sz val="10"/>
      <color rgb="FF3B3131"/>
      <name val="Times"/>
    </font>
    <font>
      <b/>
      <sz val="8"/>
      <color rgb="FFFF0000"/>
      <name val="Calibri"/>
      <family val="2"/>
      <scheme val="minor"/>
    </font>
    <font>
      <b/>
      <sz val="8"/>
      <color theme="5" tint="-0.499984740745262"/>
      <name val="Calibri"/>
      <family val="2"/>
      <scheme val="minor"/>
    </font>
    <font>
      <sz val="10"/>
      <color rgb="FF002060"/>
      <name val="Calibri"/>
      <family val="2"/>
      <scheme val="minor"/>
    </font>
    <font>
      <b/>
      <sz val="11"/>
      <color theme="5" tint="-0.499984740745262"/>
      <name val="Calibri"/>
      <family val="2"/>
      <scheme val="minor"/>
    </font>
    <font>
      <sz val="8"/>
      <color indexed="81"/>
      <name val="Tahoma"/>
      <family val="2"/>
    </font>
    <font>
      <b/>
      <sz val="8"/>
      <color indexed="81"/>
      <name val="Tahoma"/>
      <family val="2"/>
    </font>
    <font>
      <b/>
      <sz val="10"/>
      <color theme="8" tint="-0.249977111117893"/>
      <name val="Calibri"/>
      <family val="2"/>
      <scheme val="minor"/>
    </font>
    <font>
      <b/>
      <sz val="10"/>
      <color theme="8" tint="-0.499984740745262"/>
      <name val="Calibri"/>
      <family val="2"/>
      <scheme val="minor"/>
    </font>
    <font>
      <sz val="10"/>
      <color theme="1"/>
      <name val="Times New Roman"/>
      <family val="1"/>
    </font>
    <font>
      <i/>
      <sz val="10"/>
      <color theme="1"/>
      <name val="Times New Roman"/>
      <family val="1"/>
    </font>
    <font>
      <i/>
      <vertAlign val="subscript"/>
      <sz val="10"/>
      <color theme="1"/>
      <name val="Times New Roman"/>
      <family val="1"/>
    </font>
    <font>
      <b/>
      <sz val="10"/>
      <color rgb="FFFF0000"/>
      <name val="Calibri"/>
      <family val="2"/>
      <scheme val="minor"/>
    </font>
    <font>
      <i/>
      <sz val="20"/>
      <color theme="1"/>
      <name val="Times New Roman"/>
      <family val="1"/>
    </font>
    <font>
      <sz val="20"/>
      <color theme="1"/>
      <name val="Calibri"/>
      <family val="2"/>
      <scheme val="minor"/>
    </font>
    <font>
      <sz val="22"/>
      <color theme="1"/>
      <name val="Calibri"/>
      <family val="2"/>
      <scheme val="minor"/>
    </font>
    <font>
      <sz val="16"/>
      <color theme="1"/>
      <name val="Calibri"/>
      <family val="2"/>
      <scheme val="minor"/>
    </font>
    <font>
      <sz val="24"/>
      <color theme="1"/>
      <name val="Calibri"/>
      <family val="2"/>
      <scheme val="minor"/>
    </font>
    <font>
      <sz val="12"/>
      <color theme="1"/>
      <name val="Calibri"/>
      <family val="2"/>
      <scheme val="minor"/>
    </font>
    <font>
      <sz val="9"/>
      <color rgb="FF00B050"/>
      <name val="Calibri"/>
      <family val="2"/>
      <scheme val="minor"/>
    </font>
    <font>
      <sz val="10"/>
      <color rgb="FF00B050"/>
      <name val="Calibri"/>
      <family val="2"/>
      <scheme val="minor"/>
    </font>
    <font>
      <i/>
      <sz val="10"/>
      <color theme="1"/>
      <name val="Calibri"/>
      <family val="2"/>
      <scheme val="minor"/>
    </font>
    <font>
      <sz val="11"/>
      <color rgb="FF3B3131"/>
      <name val="Calibri"/>
      <family val="2"/>
      <scheme val="minor"/>
    </font>
    <font>
      <sz val="9"/>
      <color indexed="81"/>
      <name val="Tahoma"/>
      <family val="2"/>
    </font>
    <font>
      <b/>
      <sz val="10"/>
      <color theme="5" tint="-0.499984740745262"/>
      <name val="Calibri"/>
      <family val="2"/>
      <scheme val="minor"/>
    </font>
    <font>
      <b/>
      <sz val="10"/>
      <color theme="4" tint="-0.249977111117893"/>
      <name val="Calibri"/>
      <family val="2"/>
      <scheme val="minor"/>
    </font>
    <font>
      <sz val="11"/>
      <color rgb="FF000000"/>
      <name val="Calibri"/>
      <family val="2"/>
      <scheme val="minor"/>
    </font>
    <font>
      <b/>
      <sz val="10"/>
      <color rgb="FF00B0F0"/>
      <name val="Calibri"/>
      <family val="2"/>
      <scheme val="minor"/>
    </font>
    <font>
      <sz val="8"/>
      <color rgb="FFFF0000"/>
      <name val="Calibri"/>
      <family val="2"/>
      <scheme val="minor"/>
    </font>
    <font>
      <b/>
      <sz val="12"/>
      <color rgb="FFFF0000"/>
      <name val="Calibri"/>
      <family val="2"/>
      <scheme val="minor"/>
    </font>
    <font>
      <sz val="12"/>
      <color rgb="FFFF0000"/>
      <name val="Calibri"/>
      <family val="2"/>
      <scheme val="minor"/>
    </font>
    <font>
      <b/>
      <sz val="14"/>
      <color rgb="FFFF0000"/>
      <name val="Calibri"/>
      <family val="2"/>
      <scheme val="minor"/>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1">
    <xf numFmtId="0" fontId="0" fillId="0" borderId="0"/>
  </cellStyleXfs>
  <cellXfs count="58">
    <xf numFmtId="0" fontId="0" fillId="0" borderId="0" xfId="0"/>
    <xf numFmtId="0" fontId="0" fillId="2" borderId="0" xfId="0" applyFill="1"/>
    <xf numFmtId="0" fontId="2" fillId="0" borderId="0" xfId="0" applyFont="1"/>
    <xf numFmtId="0" fontId="3" fillId="2" borderId="0" xfId="0" applyFont="1" applyFill="1"/>
    <xf numFmtId="0" fontId="2" fillId="2" borderId="0" xfId="0" applyFont="1" applyFill="1"/>
    <xf numFmtId="0" fontId="2" fillId="0" borderId="0" xfId="0" applyFont="1" applyFill="1"/>
    <xf numFmtId="0" fontId="6" fillId="0" borderId="0" xfId="0" applyFont="1"/>
    <xf numFmtId="0" fontId="0" fillId="0" borderId="0" xfId="0"/>
    <xf numFmtId="0" fontId="0" fillId="2" borderId="0" xfId="0" applyFill="1"/>
    <xf numFmtId="0" fontId="0" fillId="0" borderId="0" xfId="0" applyFill="1"/>
    <xf numFmtId="0" fontId="7" fillId="0" borderId="0" xfId="0" applyFont="1"/>
    <xf numFmtId="0" fontId="8" fillId="0" borderId="0" xfId="0" applyFont="1"/>
    <xf numFmtId="0" fontId="2" fillId="0" borderId="0" xfId="0" applyFont="1"/>
    <xf numFmtId="0" fontId="11" fillId="0" borderId="0" xfId="0" applyFont="1"/>
    <xf numFmtId="0" fontId="1" fillId="2" borderId="0" xfId="0" applyFont="1" applyFill="1"/>
    <xf numFmtId="0" fontId="0" fillId="0" borderId="0" xfId="0" applyAlignment="1"/>
    <xf numFmtId="0" fontId="2" fillId="0" borderId="0" xfId="0" applyFont="1" applyAlignment="1"/>
    <xf numFmtId="0" fontId="12" fillId="2" borderId="0" xfId="0" applyFont="1" applyFill="1" applyAlignment="1">
      <alignment horizontal="center"/>
    </xf>
    <xf numFmtId="0" fontId="15" fillId="0" borderId="0" xfId="0" applyFont="1"/>
    <xf numFmtId="0" fontId="16" fillId="0" borderId="0" xfId="0" applyFont="1"/>
    <xf numFmtId="164" fontId="0" fillId="0" borderId="0" xfId="0" applyNumberFormat="1"/>
    <xf numFmtId="0" fontId="18" fillId="0" borderId="0" xfId="0" applyFont="1"/>
    <xf numFmtId="0" fontId="16" fillId="0" borderId="0" xfId="0" applyFont="1" applyAlignment="1">
      <alignment horizontal="right"/>
    </xf>
    <xf numFmtId="0" fontId="2" fillId="0" borderId="0" xfId="0" applyFont="1" applyProtection="1">
      <protection locked="0"/>
    </xf>
    <xf numFmtId="0" fontId="3" fillId="0" borderId="0" xfId="0" applyFont="1" applyProtection="1">
      <protection locked="0"/>
    </xf>
    <xf numFmtId="164" fontId="5" fillId="0" borderId="0" xfId="0" applyNumberFormat="1" applyFont="1" applyProtection="1"/>
    <xf numFmtId="165" fontId="5" fillId="0" borderId="0" xfId="0" applyNumberFormat="1" applyFont="1" applyProtection="1"/>
    <xf numFmtId="0" fontId="21" fillId="0" borderId="0" xfId="0" applyFont="1"/>
    <xf numFmtId="0" fontId="22" fillId="0" borderId="0" xfId="0" applyFont="1"/>
    <xf numFmtId="0" fontId="23" fillId="0" borderId="0" xfId="0" applyFont="1"/>
    <xf numFmtId="166" fontId="0" fillId="0" borderId="0" xfId="0" applyNumberFormat="1"/>
    <xf numFmtId="0" fontId="24" fillId="0" borderId="0" xfId="0" applyFont="1"/>
    <xf numFmtId="0" fontId="25" fillId="0" borderId="0" xfId="0" applyFont="1"/>
    <xf numFmtId="0" fontId="24" fillId="0" borderId="0" xfId="0" applyFont="1" applyAlignment="1">
      <alignment horizontal="right"/>
    </xf>
    <xf numFmtId="166" fontId="24" fillId="0" borderId="0" xfId="0" applyNumberFormat="1" applyFont="1"/>
    <xf numFmtId="0" fontId="26" fillId="0" borderId="0" xfId="0" applyFont="1"/>
    <xf numFmtId="165" fontId="3" fillId="0" borderId="0" xfId="0" applyNumberFormat="1" applyFont="1" applyProtection="1">
      <protection locked="0"/>
    </xf>
    <xf numFmtId="1" fontId="5" fillId="0" borderId="0" xfId="0" applyNumberFormat="1" applyFont="1" applyProtection="1"/>
    <xf numFmtId="167" fontId="28" fillId="0" borderId="0" xfId="0" applyNumberFormat="1" applyFont="1" applyProtection="1"/>
    <xf numFmtId="165" fontId="28" fillId="0" borderId="0" xfId="0" applyNumberFormat="1" applyFont="1" applyProtection="1"/>
    <xf numFmtId="0" fontId="3" fillId="0" borderId="0" xfId="0" applyFont="1" applyFill="1"/>
    <xf numFmtId="1" fontId="27" fillId="0" borderId="0" xfId="0" applyNumberFormat="1" applyFont="1"/>
    <xf numFmtId="0" fontId="29" fillId="0" borderId="0" xfId="0" applyFont="1"/>
    <xf numFmtId="168" fontId="0" fillId="0" borderId="0" xfId="0" applyNumberFormat="1"/>
    <xf numFmtId="169" fontId="2" fillId="0" borderId="0" xfId="0" applyNumberFormat="1" applyFont="1"/>
    <xf numFmtId="170" fontId="2" fillId="0" borderId="0" xfId="0" applyNumberFormat="1" applyFont="1"/>
    <xf numFmtId="0" fontId="30" fillId="0" borderId="0" xfId="0" applyFont="1"/>
    <xf numFmtId="165" fontId="2" fillId="0" borderId="0" xfId="0" applyNumberFormat="1" applyFont="1" applyProtection="1">
      <protection locked="0"/>
    </xf>
    <xf numFmtId="1" fontId="0" fillId="0" borderId="0" xfId="0" applyNumberFormat="1"/>
    <xf numFmtId="171" fontId="0" fillId="0" borderId="0" xfId="0" applyNumberFormat="1"/>
    <xf numFmtId="0" fontId="33" fillId="0" borderId="0" xfId="0" applyFont="1" applyAlignment="1">
      <alignment horizontal="left"/>
    </xf>
    <xf numFmtId="0" fontId="34" fillId="0" borderId="0" xfId="0" applyFont="1"/>
    <xf numFmtId="0" fontId="32" fillId="2" borderId="0" xfId="0" applyFont="1" applyFill="1" applyAlignment="1">
      <alignment horizontal="center"/>
    </xf>
    <xf numFmtId="0" fontId="7" fillId="2" borderId="0" xfId="0" applyFont="1" applyFill="1"/>
    <xf numFmtId="165" fontId="28" fillId="0" borderId="0" xfId="0" applyNumberFormat="1" applyFont="1"/>
    <xf numFmtId="1" fontId="3" fillId="0" borderId="0" xfId="0" applyNumberFormat="1" applyFont="1"/>
    <xf numFmtId="1" fontId="36" fillId="0" borderId="0" xfId="0" applyNumberFormat="1" applyFont="1"/>
    <xf numFmtId="165" fontId="3"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9"/>
  <sheetViews>
    <sheetView tabSelected="1" topLeftCell="B1" zoomScale="90" zoomScaleNormal="90" workbookViewId="0">
      <selection activeCell="G4" sqref="G4"/>
    </sheetView>
  </sheetViews>
  <sheetFormatPr defaultRowHeight="15"/>
  <cols>
    <col min="1" max="1" width="10.85546875" customWidth="1"/>
    <col min="2" max="2" width="15.42578125" customWidth="1"/>
    <col min="3" max="3" width="4.7109375" customWidth="1"/>
    <col min="4" max="4" width="15" customWidth="1"/>
    <col min="5" max="5" width="2.85546875" customWidth="1"/>
    <col min="6" max="6" width="35.7109375" customWidth="1"/>
    <col min="7" max="7" width="7" style="2" customWidth="1"/>
    <col min="8" max="8" width="3" customWidth="1"/>
    <col min="9" max="9" width="32.140625" customWidth="1"/>
    <col min="10" max="10" width="5.7109375" customWidth="1"/>
    <col min="11" max="11" width="3" customWidth="1"/>
    <col min="12" max="12" width="4" style="7" customWidth="1"/>
    <col min="13" max="13" width="26.5703125" style="2" customWidth="1"/>
    <col min="14" max="14" width="2.5703125" customWidth="1"/>
    <col min="15" max="15" width="15.7109375" customWidth="1"/>
    <col min="16" max="16" width="14.5703125" customWidth="1"/>
  </cols>
  <sheetData>
    <row r="1" spans="1:16">
      <c r="A1" s="10" t="s">
        <v>19</v>
      </c>
      <c r="B1" s="7" t="s">
        <v>20</v>
      </c>
      <c r="C1" s="7" t="s">
        <v>63</v>
      </c>
      <c r="D1" s="11"/>
      <c r="E1" s="1"/>
      <c r="F1" s="17" t="s">
        <v>64</v>
      </c>
      <c r="G1" s="4"/>
      <c r="H1" s="1"/>
      <c r="I1" s="17" t="s">
        <v>14</v>
      </c>
      <c r="J1" s="1"/>
      <c r="K1" s="1"/>
      <c r="L1" s="9"/>
      <c r="M1" s="15"/>
      <c r="N1" s="9"/>
      <c r="O1" s="9"/>
      <c r="P1" s="9"/>
    </row>
    <row r="2" spans="1:16">
      <c r="A2" s="7" t="s">
        <v>24</v>
      </c>
      <c r="B2" s="43">
        <f>J2</f>
        <v>1.1065278120312501</v>
      </c>
      <c r="E2" s="1"/>
      <c r="F2" s="6" t="s">
        <v>21</v>
      </c>
      <c r="G2" s="23">
        <v>0</v>
      </c>
      <c r="H2" s="3"/>
      <c r="I2" s="13" t="s">
        <v>22</v>
      </c>
      <c r="J2" s="25">
        <f>1.000898 + 0.003859118*$G$5 + 0.00001370735*$G$5*$G$5 + 0.00000003742517*$G$5*$G$5*$G$5</f>
        <v>1.1065278120312501</v>
      </c>
      <c r="K2" s="3"/>
      <c r="L2" s="40"/>
      <c r="M2" s="16"/>
      <c r="N2" s="9"/>
    </row>
    <row r="3" spans="1:16">
      <c r="A3" s="7" t="s">
        <v>25</v>
      </c>
      <c r="B3" s="7" t="s">
        <v>26</v>
      </c>
      <c r="E3" s="1"/>
      <c r="F3" s="6" t="s">
        <v>15</v>
      </c>
      <c r="G3" s="23">
        <v>400</v>
      </c>
      <c r="H3" s="1"/>
      <c r="I3" s="13" t="s">
        <v>4</v>
      </c>
      <c r="J3" s="37">
        <f>IF(G2=0,0.575,0.63)*G3</f>
        <v>229.99999999999997</v>
      </c>
      <c r="K3" s="3"/>
      <c r="L3" s="40"/>
      <c r="M3" s="16"/>
      <c r="N3" s="9"/>
    </row>
    <row r="4" spans="1:16">
      <c r="A4" s="7" t="s">
        <v>25</v>
      </c>
      <c r="B4" s="20">
        <f>B2-0.007</f>
        <v>1.0995278120312502</v>
      </c>
      <c r="E4" s="1"/>
      <c r="F4" s="6" t="s">
        <v>0</v>
      </c>
      <c r="G4" s="23">
        <v>3.6</v>
      </c>
      <c r="H4" s="1"/>
      <c r="I4" s="13" t="s">
        <v>5</v>
      </c>
      <c r="J4" s="37">
        <f>J3/3.78541178</f>
        <v>60.759572106578048</v>
      </c>
      <c r="K4" s="3"/>
      <c r="L4" s="40"/>
      <c r="M4" s="16"/>
      <c r="N4" s="9"/>
    </row>
    <row r="5" spans="1:16" ht="15.75">
      <c r="A5" s="7" t="s">
        <v>27</v>
      </c>
      <c r="E5" s="1"/>
      <c r="F5" s="6" t="s">
        <v>1</v>
      </c>
      <c r="G5" s="23">
        <v>25</v>
      </c>
      <c r="H5" s="1"/>
      <c r="I5" s="13" t="s">
        <v>6</v>
      </c>
      <c r="J5" s="38">
        <f>B9/100</f>
        <v>0.14440981873103018</v>
      </c>
      <c r="K5" s="3"/>
      <c r="L5" s="40"/>
      <c r="M5" s="16"/>
      <c r="N5" s="9"/>
      <c r="O5" s="7"/>
      <c r="P5" s="35"/>
    </row>
    <row r="6" spans="1:16" ht="15.75">
      <c r="A6" s="7" t="s">
        <v>28</v>
      </c>
      <c r="B6">
        <f>7.75-(3000*((B4-1)/800))</f>
        <v>7.3767707048828122</v>
      </c>
      <c r="E6" s="1"/>
      <c r="F6" s="6" t="s">
        <v>2</v>
      </c>
      <c r="G6" s="47">
        <v>7.7</v>
      </c>
      <c r="H6" s="1"/>
      <c r="K6" s="3"/>
      <c r="L6" s="40"/>
      <c r="N6" s="9"/>
      <c r="P6" s="35"/>
    </row>
    <row r="7" spans="1:16" ht="15.75">
      <c r="A7" s="7" t="s">
        <v>29</v>
      </c>
      <c r="B7">
        <v>1</v>
      </c>
      <c r="E7" s="1"/>
      <c r="F7" s="6" t="s">
        <v>16</v>
      </c>
      <c r="G7" s="23">
        <v>1</v>
      </c>
      <c r="H7" s="1"/>
      <c r="I7" s="13" t="s">
        <v>7</v>
      </c>
      <c r="J7" s="26">
        <f>G4+(0.1*G7)</f>
        <v>3.7</v>
      </c>
      <c r="K7" s="3"/>
      <c r="L7" s="40"/>
      <c r="N7" s="9"/>
      <c r="P7" s="35"/>
    </row>
    <row r="8" spans="1:16">
      <c r="A8" s="21" t="s">
        <v>30</v>
      </c>
      <c r="E8" s="1"/>
      <c r="F8" s="6" t="s">
        <v>17</v>
      </c>
      <c r="G8" s="23">
        <v>1</v>
      </c>
      <c r="H8" s="14" t="str">
        <f>IF(AND(G8&lt;&gt;1,G7=1),A1,B1)</f>
        <v xml:space="preserve"> </v>
      </c>
      <c r="I8" s="13" t="s">
        <v>8</v>
      </c>
      <c r="J8" s="26">
        <f>J7+((G6*0.15/10)*G8)</f>
        <v>3.8155000000000001</v>
      </c>
      <c r="K8" s="3"/>
      <c r="L8" s="40"/>
      <c r="N8" s="9"/>
    </row>
    <row r="9" spans="1:16">
      <c r="A9" s="7" t="s">
        <v>31</v>
      </c>
      <c r="B9" s="30">
        <f>1000*(B2-B7)/B6</f>
        <v>14.440981873103016</v>
      </c>
      <c r="E9" s="1"/>
      <c r="F9" s="6" t="s">
        <v>18</v>
      </c>
      <c r="G9" s="23">
        <v>1</v>
      </c>
      <c r="H9" s="14" t="str">
        <f>IF(AND(G9&lt;&gt;1,G8=1),A1,B1)</f>
        <v xml:space="preserve"> </v>
      </c>
      <c r="I9" s="13" t="s">
        <v>9</v>
      </c>
      <c r="J9" s="26">
        <f>IF(J8&gt;3.6,J8+((G6-(G6*0.15))*0.012),J8-((G6-(G6*0.15))*0.012))</f>
        <v>3.8940399999999999</v>
      </c>
      <c r="K9" s="3"/>
      <c r="L9" s="40"/>
      <c r="M9" s="7"/>
      <c r="N9" s="9"/>
    </row>
    <row r="10" spans="1:16">
      <c r="A10" s="7" t="s">
        <v>36</v>
      </c>
      <c r="E10" s="1"/>
      <c r="F10" s="19" t="s">
        <v>61</v>
      </c>
      <c r="G10" s="24">
        <v>3.6</v>
      </c>
      <c r="H10" s="53" t="str">
        <f>IF(OR(G10&lt;3.2,G10&gt;3.9),"??",B1)</f>
        <v xml:space="preserve"> </v>
      </c>
      <c r="I10" s="13" t="s">
        <v>12</v>
      </c>
      <c r="J10" s="39">
        <f>J9</f>
        <v>3.8940399999999999</v>
      </c>
      <c r="K10" s="53" t="str">
        <f>IF(OR(J10&lt;3.2,J10&gt;3.9),C1,B1)</f>
        <v xml:space="preserve"> </v>
      </c>
      <c r="L10" s="40"/>
      <c r="N10" s="9"/>
    </row>
    <row r="11" spans="1:16" s="7" customFormat="1">
      <c r="E11" s="8"/>
      <c r="F11" s="19" t="s">
        <v>60</v>
      </c>
      <c r="G11" s="24">
        <v>3.3</v>
      </c>
      <c r="H11" s="8"/>
      <c r="K11" s="3"/>
      <c r="L11" s="40"/>
      <c r="M11" s="12"/>
      <c r="N11" s="9"/>
    </row>
    <row r="12" spans="1:16" s="7" customFormat="1">
      <c r="E12" s="8"/>
      <c r="F12" s="19" t="s">
        <v>59</v>
      </c>
      <c r="G12" s="36">
        <v>6</v>
      </c>
      <c r="H12" s="53" t="str">
        <f>IF(OR(G12&lt;6,G12&gt;7),"??",B1)</f>
        <v xml:space="preserve"> </v>
      </c>
      <c r="I12" s="13" t="s">
        <v>10</v>
      </c>
      <c r="J12" s="26">
        <f>G6-((G6*0.11)*G8)</f>
        <v>6.8529999999999998</v>
      </c>
      <c r="K12" s="3"/>
      <c r="L12" s="40"/>
      <c r="M12" s="12"/>
      <c r="N12" s="9"/>
    </row>
    <row r="13" spans="1:16">
      <c r="A13" s="7">
        <f>(1000+(B9*(7.75-((3000*((0.007+1)/800))*-1))))/(1000+(B9*(3000*(1/800))))</f>
        <v>1.1065278120312501</v>
      </c>
      <c r="B13" s="7"/>
      <c r="E13" s="1"/>
      <c r="F13" s="19" t="s">
        <v>58</v>
      </c>
      <c r="G13" s="36">
        <v>8.1999999999999993</v>
      </c>
      <c r="H13" s="1"/>
      <c r="I13" s="13" t="s">
        <v>11</v>
      </c>
      <c r="J13" s="26">
        <f>J12-((J12*0.12)*G9)</f>
        <v>6.03064</v>
      </c>
      <c r="K13" s="3"/>
      <c r="L13" s="9"/>
      <c r="N13" s="9"/>
    </row>
    <row r="14" spans="1:16">
      <c r="A14" s="7">
        <f>(1000+(G14*(7.75-((3000*((0.007+1)/800))*-1))))/(1000+(G14*(3000*(1/800))))</f>
        <v>1.0903642178253334</v>
      </c>
      <c r="B14" s="7" t="s">
        <v>38</v>
      </c>
      <c r="E14" s="1"/>
      <c r="F14" s="19" t="s">
        <v>3</v>
      </c>
      <c r="G14" s="36">
        <v>12.15</v>
      </c>
      <c r="H14" s="1"/>
      <c r="I14" s="13" t="s">
        <v>13</v>
      </c>
      <c r="J14" s="39">
        <f>J13</f>
        <v>6.03064</v>
      </c>
      <c r="K14" s="3"/>
      <c r="L14" s="40"/>
      <c r="N14" s="9"/>
    </row>
    <row r="15" spans="1:16" ht="18.75">
      <c r="A15" s="7">
        <f>((A14-1)*220)+1.58</f>
        <v>21.460127921573353</v>
      </c>
      <c r="B15" s="7" t="s">
        <v>39</v>
      </c>
      <c r="E15" s="1"/>
      <c r="F15" s="52" t="s">
        <v>65</v>
      </c>
      <c r="G15" s="4"/>
      <c r="H15" s="8"/>
      <c r="I15" s="52" t="s">
        <v>62</v>
      </c>
      <c r="J15" s="3"/>
      <c r="K15" s="3"/>
      <c r="L15" s="40"/>
      <c r="M15" s="5"/>
      <c r="N15" s="9"/>
    </row>
    <row r="16" spans="1:16">
      <c r="A16" s="7">
        <f>1000*(A14-1)/(7.75-(3000*(((A14-0.007)-1)/800)))</f>
        <v>12.150000000000027</v>
      </c>
      <c r="B16" s="7" t="s">
        <v>40</v>
      </c>
      <c r="E16" s="8"/>
      <c r="F16" s="18" t="s">
        <v>23</v>
      </c>
      <c r="G16" s="55">
        <f>G6*J3</f>
        <v>1770.9999999999998</v>
      </c>
      <c r="H16" s="8"/>
      <c r="P16" s="7"/>
    </row>
    <row r="17" spans="1:19">
      <c r="A17" s="46">
        <f>(G16+G17)/(J3+G19)</f>
        <v>8.1999999999999993</v>
      </c>
      <c r="B17" s="7" t="s">
        <v>41</v>
      </c>
      <c r="E17" s="8"/>
      <c r="F17" s="19" t="s">
        <v>42</v>
      </c>
      <c r="G17" s="55">
        <f>IF((G13-G6)*J3+(G19*G13)&gt;0,(G13-G6)*J3+(G19*G13),0)</f>
        <v>426.0978072596306</v>
      </c>
      <c r="H17" s="8"/>
    </row>
    <row r="18" spans="1:19">
      <c r="A18" s="7">
        <f>A17-((A17*0.11)*G8)</f>
        <v>7.2979999999999992</v>
      </c>
      <c r="B18" s="7">
        <f>A18-((A17*0.15)*G9)</f>
        <v>6.0679999999999996</v>
      </c>
      <c r="E18" s="8"/>
      <c r="F18" s="19" t="s">
        <v>43</v>
      </c>
      <c r="G18" s="56">
        <f>IF(AND(A17&gt;G13,G4&lt;3),(A17-G13)*G25,0)</f>
        <v>0</v>
      </c>
      <c r="H18" s="8"/>
    </row>
    <row r="19" spans="1:19">
      <c r="A19" s="7" t="s">
        <v>50</v>
      </c>
      <c r="B19">
        <f>G4-((G17+G18)/G25/10)</f>
        <v>3.4409719399844594</v>
      </c>
      <c r="E19" s="8"/>
      <c r="F19" s="19" t="s">
        <v>44</v>
      </c>
      <c r="G19" s="55">
        <f>IF((J3*G5/A15)-J3&gt;0,(J3*G5/A15)-J3,0)</f>
        <v>37.938756982881813</v>
      </c>
      <c r="H19" s="8"/>
      <c r="I19" s="48"/>
    </row>
    <row r="20" spans="1:19" ht="15" customHeight="1">
      <c r="A20" s="7" t="s">
        <v>47</v>
      </c>
      <c r="B20">
        <f>(B19+(0.1*G7))</f>
        <v>3.5409719399844595</v>
      </c>
      <c r="E20" s="8"/>
      <c r="F20" s="22" t="s">
        <v>32</v>
      </c>
      <c r="G20" s="57">
        <f>G19/3.78541178</f>
        <v>10.022359306675432</v>
      </c>
      <c r="H20" s="8"/>
    </row>
    <row r="21" spans="1:19" s="7" customFormat="1" ht="15" customHeight="1">
      <c r="A21" s="7" t="s">
        <v>48</v>
      </c>
      <c r="B21" s="7">
        <f>B20+(((A17-A18)/10)*G8)</f>
        <v>3.6311719399844593</v>
      </c>
      <c r="E21" s="8"/>
      <c r="F21" s="50" t="s">
        <v>51</v>
      </c>
      <c r="G21" s="55">
        <f>IF(A27&gt;0,A27,0)</f>
        <v>0</v>
      </c>
      <c r="H21" s="8"/>
      <c r="N21" s="27"/>
      <c r="O21" s="27"/>
      <c r="P21" s="42"/>
      <c r="Q21" s="27"/>
    </row>
    <row r="22" spans="1:19" s="7" customFormat="1" ht="15" customHeight="1">
      <c r="E22" s="8"/>
      <c r="F22" s="22" t="s">
        <v>56</v>
      </c>
      <c r="G22" s="57">
        <f>IF(B28&gt;0,B28,0)</f>
        <v>0</v>
      </c>
      <c r="H22" s="8"/>
      <c r="N22" s="27"/>
      <c r="O22" s="27"/>
      <c r="P22" s="42"/>
      <c r="Q22" s="27"/>
    </row>
    <row r="23" spans="1:19" ht="15" customHeight="1">
      <c r="A23" s="7" t="s">
        <v>49</v>
      </c>
      <c r="B23" s="7">
        <f>IF(B21&gt;3.65,B21+((A18-B18)/10),B21-((A18-B18)/10))</f>
        <v>3.5081719399844595</v>
      </c>
      <c r="E23" s="8"/>
      <c r="F23" s="19" t="s">
        <v>33</v>
      </c>
      <c r="G23" s="57">
        <f>(G16+G17-G18)/(J3+G19)</f>
        <v>8.1999999999999993</v>
      </c>
      <c r="H23" s="8"/>
      <c r="M23" s="33"/>
    </row>
    <row r="24" spans="1:19" ht="15" customHeight="1">
      <c r="A24" s="21" t="s">
        <v>52</v>
      </c>
      <c r="B24" s="28"/>
      <c r="C24" s="28"/>
      <c r="D24" s="28"/>
      <c r="E24" s="8"/>
      <c r="F24" s="19" t="s">
        <v>35</v>
      </c>
      <c r="G24" s="57">
        <f>G4-((G17-G18)/G25/10)</f>
        <v>3.4409719399844594</v>
      </c>
      <c r="H24" s="8"/>
    </row>
    <row r="25" spans="1:19" ht="15" customHeight="1">
      <c r="A25" s="49">
        <f>((G5-1.6)*12)+4</f>
        <v>284.79999999999995</v>
      </c>
      <c r="B25" s="7" t="s">
        <v>53</v>
      </c>
      <c r="E25" s="8"/>
      <c r="F25" s="19" t="s">
        <v>37</v>
      </c>
      <c r="G25" s="41">
        <f>J3+G19+B29</f>
        <v>267.93875698288178</v>
      </c>
      <c r="H25" s="8"/>
      <c r="K25" s="34"/>
      <c r="L25" s="34"/>
      <c r="M25" s="31"/>
      <c r="N25" s="31"/>
      <c r="O25" s="31"/>
      <c r="P25" s="31"/>
      <c r="Q25" s="31"/>
    </row>
    <row r="26" spans="1:19">
      <c r="A26">
        <f>((A15-1.6)*12)+4</f>
        <v>242.32153505888022</v>
      </c>
      <c r="B26" s="7" t="s">
        <v>54</v>
      </c>
      <c r="E26" s="8"/>
      <c r="F26" s="19" t="s">
        <v>34</v>
      </c>
      <c r="G26" s="54">
        <f>A16</f>
        <v>12.150000000000027</v>
      </c>
      <c r="H26" s="8"/>
      <c r="I26" s="7"/>
    </row>
    <row r="27" spans="1:19" s="7" customFormat="1">
      <c r="A27" s="7">
        <f>(G3*(A26-A25))/(1-(A26/1600))</f>
        <v>-20024.047124807013</v>
      </c>
      <c r="B27" s="7" t="s">
        <v>55</v>
      </c>
      <c r="E27" s="8"/>
      <c r="F27" s="19" t="s">
        <v>45</v>
      </c>
      <c r="G27" s="54">
        <f>B18</f>
        <v>6.0679999999999996</v>
      </c>
      <c r="H27" s="8"/>
      <c r="M27" s="12"/>
      <c r="P27" s="43"/>
    </row>
    <row r="28" spans="1:19" s="7" customFormat="1">
      <c r="A28" s="51">
        <v>2.20462262E-3</v>
      </c>
      <c r="B28" s="7">
        <f>A27*A28</f>
        <v>-44.145467235295506</v>
      </c>
      <c r="E28" s="8"/>
      <c r="F28" s="19" t="s">
        <v>46</v>
      </c>
      <c r="G28" s="54">
        <f>B23</f>
        <v>3.5081719399844595</v>
      </c>
      <c r="H28" s="53" t="str">
        <f>IF(G28&gt;3.9,C1,B1)</f>
        <v xml:space="preserve"> </v>
      </c>
      <c r="M28" s="45"/>
      <c r="O28" s="30"/>
    </row>
    <row r="29" spans="1:19">
      <c r="A29" s="7" t="s">
        <v>57</v>
      </c>
      <c r="B29">
        <f>IF(A27/1600&gt;0,A27/1600,0)</f>
        <v>0</v>
      </c>
      <c r="E29" s="8"/>
      <c r="F29" s="8"/>
      <c r="G29" s="4"/>
      <c r="H29" s="8"/>
      <c r="I29" s="7"/>
      <c r="M29" s="44"/>
      <c r="O29" s="7"/>
      <c r="P29" s="43"/>
    </row>
    <row r="30" spans="1:19" ht="15" customHeight="1">
      <c r="A30" s="7"/>
    </row>
    <row r="31" spans="1:19" ht="15" customHeight="1">
      <c r="A31" s="7"/>
    </row>
    <row r="32" spans="1:19" ht="15" customHeight="1">
      <c r="M32" s="32"/>
      <c r="N32" s="7"/>
      <c r="O32" s="7"/>
      <c r="P32" s="7"/>
      <c r="Q32" s="7"/>
      <c r="R32" s="7"/>
      <c r="S32" s="7"/>
    </row>
    <row r="33" spans="1:19" ht="15" customHeight="1">
      <c r="F33" s="7"/>
      <c r="M33" s="44"/>
      <c r="N33" s="7"/>
      <c r="O33" s="7"/>
      <c r="P33" s="7"/>
      <c r="Q33" s="7"/>
      <c r="R33" s="7"/>
      <c r="S33" s="7"/>
    </row>
    <row r="34" spans="1:19" ht="15" customHeight="1">
      <c r="F34" s="7"/>
      <c r="M34" s="12"/>
      <c r="N34" s="7"/>
      <c r="O34" s="7"/>
      <c r="P34" s="7"/>
      <c r="Q34" s="7"/>
      <c r="R34" s="7"/>
      <c r="S34" s="7"/>
    </row>
    <row r="35" spans="1:19" ht="15" customHeight="1">
      <c r="A35" s="7"/>
      <c r="B35" s="7"/>
      <c r="M35" s="12"/>
      <c r="N35" s="7"/>
      <c r="O35" s="7"/>
      <c r="P35" s="7"/>
      <c r="Q35" s="7"/>
      <c r="R35" s="7"/>
      <c r="S35" s="7"/>
    </row>
    <row r="36" spans="1:19" ht="15" customHeight="1">
      <c r="A36" s="7"/>
      <c r="M36" s="12"/>
      <c r="N36" s="7"/>
      <c r="O36" s="7"/>
      <c r="P36" s="7"/>
      <c r="Q36" s="7"/>
      <c r="R36" s="7"/>
      <c r="S36" s="7"/>
    </row>
    <row r="37" spans="1:19" ht="15" customHeight="1">
      <c r="A37" s="7"/>
      <c r="B37" s="7"/>
      <c r="M37" s="29"/>
      <c r="N37" s="7"/>
      <c r="O37" s="7"/>
      <c r="P37" s="7"/>
      <c r="Q37" s="7"/>
      <c r="R37" s="7"/>
      <c r="S37" s="7"/>
    </row>
    <row r="38" spans="1:19" ht="15" customHeight="1">
      <c r="M38" s="12"/>
      <c r="N38" s="7"/>
      <c r="O38" s="30"/>
      <c r="P38" s="7"/>
      <c r="Q38" s="7"/>
      <c r="R38" s="7"/>
      <c r="S38" s="7"/>
    </row>
    <row r="39" spans="1:19" ht="15" customHeight="1"/>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L14" sqref="L14"/>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dcterms:created xsi:type="dcterms:W3CDTF">2010-11-23T18:15:42Z</dcterms:created>
  <dcterms:modified xsi:type="dcterms:W3CDTF">2010-11-30T13:01:29Z</dcterms:modified>
</cp:coreProperties>
</file>