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605" yWindow="1125" windowWidth="18195" windowHeight="672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Y47" i="1"/>
  <c r="X47"/>
  <c r="V47"/>
  <c r="U47"/>
  <c r="O47"/>
  <c r="P47" s="1"/>
  <c r="T47" s="1"/>
  <c r="E47"/>
  <c r="F47" s="1"/>
  <c r="U46" l="1"/>
  <c r="V46" s="1"/>
  <c r="O46"/>
  <c r="P46" s="1"/>
  <c r="T46" s="1"/>
  <c r="E46"/>
  <c r="F46" s="1"/>
  <c r="X46" s="1"/>
  <c r="Y46" l="1"/>
  <c r="O42"/>
  <c r="P42" s="1"/>
  <c r="T42" s="1"/>
  <c r="U42"/>
  <c r="V42" s="1"/>
  <c r="E42"/>
  <c r="F42" s="1"/>
  <c r="X42" s="1"/>
  <c r="X40"/>
  <c r="U40"/>
  <c r="V40" s="1"/>
  <c r="O40"/>
  <c r="P40" s="1"/>
  <c r="T40" s="1"/>
  <c r="V2"/>
  <c r="Y40" l="1"/>
  <c r="Y42"/>
  <c r="U43"/>
  <c r="V43" s="1"/>
  <c r="O43"/>
  <c r="P43" s="1"/>
  <c r="T43" s="1"/>
  <c r="E43"/>
  <c r="F43" s="1"/>
  <c r="X43" s="1"/>
  <c r="U44"/>
  <c r="V44" s="1"/>
  <c r="O44"/>
  <c r="P44" s="1"/>
  <c r="T44" s="1"/>
  <c r="E44"/>
  <c r="F44" s="1"/>
  <c r="X44" s="1"/>
  <c r="U41"/>
  <c r="V41" s="1"/>
  <c r="P41"/>
  <c r="T41" s="1"/>
  <c r="E41"/>
  <c r="F41" s="1"/>
  <c r="X41" s="1"/>
  <c r="Y43" l="1"/>
  <c r="Y44"/>
  <c r="Y41"/>
  <c r="U45"/>
  <c r="V45" s="1"/>
  <c r="O45"/>
  <c r="E45"/>
  <c r="F45" s="1"/>
  <c r="X45" s="1"/>
  <c r="U27"/>
  <c r="V27" s="1"/>
  <c r="O27"/>
  <c r="P27" s="1"/>
  <c r="T27" s="1"/>
  <c r="E27"/>
  <c r="F27" s="1"/>
  <c r="X27" s="1"/>
  <c r="O21"/>
  <c r="P21"/>
  <c r="U21"/>
  <c r="V21" s="1"/>
  <c r="X21"/>
  <c r="Y21" l="1"/>
  <c r="P45"/>
  <c r="T45" s="1"/>
  <c r="Y45"/>
  <c r="T21"/>
  <c r="Y27"/>
  <c r="N29"/>
  <c r="X19"/>
  <c r="U19"/>
  <c r="V19" s="1"/>
  <c r="O19"/>
  <c r="P19" s="1"/>
  <c r="T19" s="1"/>
  <c r="Y19" l="1"/>
  <c r="U24"/>
  <c r="V24" s="1"/>
  <c r="O24"/>
  <c r="P24" s="1"/>
  <c r="E24"/>
  <c r="F24" s="1"/>
  <c r="X24" s="1"/>
  <c r="U22"/>
  <c r="V22" s="1"/>
  <c r="O22"/>
  <c r="P22" s="1"/>
  <c r="T22" s="1"/>
  <c r="E22"/>
  <c r="F22" s="1"/>
  <c r="X22" s="1"/>
  <c r="E35"/>
  <c r="E34"/>
  <c r="F34" s="1"/>
  <c r="X34" s="1"/>
  <c r="E33"/>
  <c r="F33" s="1"/>
  <c r="X33" s="1"/>
  <c r="E32"/>
  <c r="F32" s="1"/>
  <c r="E31"/>
  <c r="F31" s="1"/>
  <c r="X31" s="1"/>
  <c r="E30"/>
  <c r="F30" s="1"/>
  <c r="X30" s="1"/>
  <c r="E29"/>
  <c r="F29" s="1"/>
  <c r="X29" s="1"/>
  <c r="E28"/>
  <c r="F28" s="1"/>
  <c r="X28" s="1"/>
  <c r="E26"/>
  <c r="F26" s="1"/>
  <c r="E25"/>
  <c r="F25" s="1"/>
  <c r="X25" s="1"/>
  <c r="E23"/>
  <c r="F23" s="1"/>
  <c r="X23" s="1"/>
  <c r="E20"/>
  <c r="F20" s="1"/>
  <c r="X20" s="1"/>
  <c r="E18"/>
  <c r="F18" s="1"/>
  <c r="X18" s="1"/>
  <c r="E17"/>
  <c r="F17" s="1"/>
  <c r="F35"/>
  <c r="U33"/>
  <c r="V33" s="1"/>
  <c r="O33"/>
  <c r="P33" s="1"/>
  <c r="X32"/>
  <c r="U32"/>
  <c r="V32" s="1"/>
  <c r="P32"/>
  <c r="O32"/>
  <c r="U31"/>
  <c r="V31" s="1"/>
  <c r="O31"/>
  <c r="P31" s="1"/>
  <c r="U30"/>
  <c r="V30" s="1"/>
  <c r="O30"/>
  <c r="P30" s="1"/>
  <c r="U29"/>
  <c r="V29" s="1"/>
  <c r="O29"/>
  <c r="P29" s="1"/>
  <c r="U28"/>
  <c r="V28" s="1"/>
  <c r="O28"/>
  <c r="P28" s="1"/>
  <c r="U26"/>
  <c r="V26" s="1"/>
  <c r="Y26" s="1"/>
  <c r="O26"/>
  <c r="P26" s="1"/>
  <c r="U25"/>
  <c r="V25" s="1"/>
  <c r="O25"/>
  <c r="P25" s="1"/>
  <c r="T25" s="1"/>
  <c r="U23"/>
  <c r="V23" s="1"/>
  <c r="P23"/>
  <c r="O23"/>
  <c r="U20"/>
  <c r="V20" s="1"/>
  <c r="O20"/>
  <c r="P20" s="1"/>
  <c r="U18"/>
  <c r="V18" s="1"/>
  <c r="O18"/>
  <c r="P18" s="1"/>
  <c r="T18" s="1"/>
  <c r="X17"/>
  <c r="U17"/>
  <c r="V17" s="1"/>
  <c r="P17"/>
  <c r="O17"/>
  <c r="X35"/>
  <c r="U35"/>
  <c r="V35" s="1"/>
  <c r="P35"/>
  <c r="O35"/>
  <c r="U34"/>
  <c r="V34" s="1"/>
  <c r="P34"/>
  <c r="G8"/>
  <c r="G7"/>
  <c r="I7"/>
  <c r="G11"/>
  <c r="G10"/>
  <c r="G9"/>
  <c r="O3"/>
  <c r="T24" l="1"/>
  <c r="Y24"/>
  <c r="Y22"/>
  <c r="Y35"/>
  <c r="Y18"/>
  <c r="Y23"/>
  <c r="T17"/>
  <c r="T20"/>
  <c r="T23"/>
  <c r="T31"/>
  <c r="T33"/>
  <c r="Y29"/>
  <c r="Y33"/>
  <c r="Y31"/>
  <c r="Y17"/>
  <c r="Y20"/>
  <c r="Y25"/>
  <c r="T29"/>
  <c r="Y30"/>
  <c r="Y32"/>
  <c r="Y28"/>
  <c r="T30"/>
  <c r="T32"/>
  <c r="T28"/>
  <c r="T26"/>
  <c r="T35"/>
  <c r="Y34"/>
  <c r="T34"/>
  <c r="I8" l="1"/>
  <c r="P9"/>
  <c r="I11"/>
  <c r="I10"/>
  <c r="I9"/>
  <c r="E16"/>
  <c r="P48"/>
  <c r="P36"/>
  <c r="U48"/>
  <c r="U39"/>
  <c r="U36"/>
  <c r="U16"/>
  <c r="Q9" l="1"/>
  <c r="P11"/>
  <c r="Q11" s="1"/>
  <c r="P7"/>
  <c r="Q7" s="1"/>
  <c r="P10"/>
  <c r="Q10" s="1"/>
  <c r="P8"/>
  <c r="Q8" s="1"/>
  <c r="F16"/>
  <c r="X16" s="1"/>
  <c r="P16"/>
  <c r="V16"/>
  <c r="R7" l="1"/>
  <c r="T16"/>
  <c r="Y16"/>
  <c r="E36"/>
  <c r="S7" l="1"/>
  <c r="T7" s="1"/>
  <c r="R10"/>
  <c r="R11"/>
  <c r="R8"/>
  <c r="R9"/>
  <c r="X48"/>
  <c r="X36"/>
  <c r="E48"/>
  <c r="F48" s="1"/>
  <c r="E39"/>
  <c r="F39" s="1"/>
  <c r="X39" s="1"/>
  <c r="F36"/>
  <c r="N49"/>
  <c r="N37"/>
  <c r="H53"/>
  <c r="H55" s="1"/>
  <c r="W53"/>
  <c r="V48"/>
  <c r="O48"/>
  <c r="V39"/>
  <c r="O39"/>
  <c r="V36"/>
  <c r="O36"/>
  <c r="P39" l="1"/>
  <c r="T39" s="1"/>
  <c r="Y48"/>
  <c r="U7"/>
  <c r="S8"/>
  <c r="T8" s="1"/>
  <c r="U8" s="1"/>
  <c r="S10"/>
  <c r="T10" s="1"/>
  <c r="S9"/>
  <c r="S11"/>
  <c r="T11" s="1"/>
  <c r="T36"/>
  <c r="T48"/>
  <c r="Y39"/>
  <c r="Y49" s="1"/>
  <c r="H57"/>
  <c r="X53"/>
  <c r="U53"/>
  <c r="Y36"/>
  <c r="U11" l="1"/>
  <c r="T9"/>
  <c r="U9" s="1"/>
  <c r="U10"/>
  <c r="H58"/>
  <c r="H61" s="1"/>
  <c r="H60"/>
  <c r="V53" l="1"/>
  <c r="Y37" l="1"/>
  <c r="Y53" s="1"/>
  <c r="Y55" l="1"/>
  <c r="H62"/>
</calcChain>
</file>

<file path=xl/sharedStrings.xml><?xml version="1.0" encoding="utf-8"?>
<sst xmlns="http://schemas.openxmlformats.org/spreadsheetml/2006/main" count="244" uniqueCount="151">
  <si>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</si>
  <si>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</si>
  <si>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</si>
  <si>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</si>
  <si>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</si>
  <si>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</si>
  <si>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</si>
  <si>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</si>
  <si>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>CLEAN</t>
  </si>
  <si>
    <t>PEOPLE</t>
  </si>
  <si>
    <t xml:space="preserve"> TAX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</si>
  <si>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</si>
  <si>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</si>
  <si>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</si>
  <si>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</si>
  <si>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</si>
  <si>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</si>
  <si>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</si>
  <si>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</si>
  <si>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</si>
  <si>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</si>
  <si>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</si>
  <si>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</si>
  <si>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</si>
  <si>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</si>
  <si>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</si>
  <si>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EMAIL</t>
  </si>
  <si>
    <t>NA</t>
  </si>
  <si>
    <t>#</t>
  </si>
  <si>
    <t>Nights</t>
  </si>
  <si>
    <t>Weeks:</t>
  </si>
  <si>
    <t>Nights:</t>
  </si>
  <si>
    <t xml:space="preserve"> PAY PAL 3.9%? 1=Y 0=N</t>
  </si>
  <si>
    <t>Us Nights</t>
  </si>
  <si>
    <t>Us Weeks</t>
  </si>
  <si>
    <t>Rented Nights</t>
  </si>
  <si>
    <t>Rented Weeks</t>
  </si>
  <si>
    <t>Per week NET NET</t>
  </si>
  <si>
    <t>Base Rent</t>
  </si>
  <si>
    <t>Bnk/PayP</t>
  </si>
  <si>
    <t>Jul-Aug</t>
  </si>
  <si>
    <t>May &amp; Sep</t>
  </si>
  <si>
    <t>April &amp; Oct</t>
  </si>
  <si>
    <t>Nov to March</t>
  </si>
  <si>
    <t>June</t>
  </si>
  <si>
    <t>Quoted</t>
  </si>
  <si>
    <t>WEEK</t>
  </si>
  <si>
    <t>CHANGE TO</t>
  </si>
  <si>
    <t>tim.mccarthy1@yahoo.com</t>
  </si>
  <si>
    <t>HR</t>
  </si>
  <si>
    <t>4 inc 0 children</t>
  </si>
  <si>
    <t>NOW</t>
  </si>
  <si>
    <t>Bank</t>
  </si>
  <si>
    <t xml:space="preserve">22-DEC 10 - 4 Jan 11 </t>
  </si>
  <si>
    <t>OD</t>
  </si>
  <si>
    <t>4 inc 2 children</t>
  </si>
  <si>
    <t>Dos Santos</t>
  </si>
  <si>
    <t>3 inc 1 child</t>
  </si>
  <si>
    <r>
      <t>4 Aug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10AM</t>
    </r>
    <r>
      <rPr>
        <sz val="11"/>
        <color theme="1"/>
        <rFont val="Calibri"/>
        <family val="2"/>
        <scheme val="minor"/>
      </rPr>
      <t xml:space="preserve"> to 18 Aug</t>
    </r>
  </si>
  <si>
    <t>kenthom61@aol.com</t>
  </si>
  <si>
    <t>HL</t>
  </si>
  <si>
    <t>20 Apr to 3 May</t>
  </si>
  <si>
    <t>2 inc 0 children</t>
  </si>
  <si>
    <t>Christine Hunter</t>
  </si>
  <si>
    <t>30 Sept to 7 Oct</t>
  </si>
  <si>
    <t>Dave &amp; Mary Stuart</t>
  </si>
  <si>
    <t>marystuart@eircom.net  marystuart1965@gmail.com</t>
  </si>
  <si>
    <t>dutch.eastpark@sky.com</t>
  </si>
  <si>
    <t>Anne Kleijwegt</t>
  </si>
  <si>
    <t>25 Jul to 3 Aug 2011</t>
  </si>
  <si>
    <t>4 Inc 2 Children</t>
  </si>
  <si>
    <r>
      <t>Clen</t>
    </r>
    <r>
      <rPr>
        <b/>
        <sz val="11"/>
        <color rgb="FFFF0000"/>
        <rFont val="Calibri"/>
        <family val="2"/>
        <scheme val="minor"/>
      </rPr>
      <t xml:space="preserve"> Exit Only</t>
    </r>
  </si>
  <si>
    <t>8 jun to 15 jun</t>
  </si>
  <si>
    <t>5 inc 0 children</t>
  </si>
  <si>
    <t>lindaquinn1948@eircom.net  patriciabagnall@yahoo.ie</t>
  </si>
  <si>
    <t>Linda Qinn</t>
  </si>
  <si>
    <t>robert.dempsey@lornestewart.co.uk</t>
  </si>
  <si>
    <t>Robert Dempsey</t>
  </si>
  <si>
    <t>21 Jun 5 Jul</t>
  </si>
  <si>
    <r>
      <t>7 Jul to 18 Jul</t>
    </r>
    <r>
      <rPr>
        <sz val="11"/>
        <color theme="1"/>
        <rFont val="Calibri"/>
        <family val="2"/>
        <scheme val="minor"/>
      </rPr>
      <t xml:space="preserve"> </t>
    </r>
  </si>
  <si>
    <t>Tim Mccarthy</t>
  </si>
  <si>
    <t>Kenneth Thomson</t>
  </si>
  <si>
    <t>Catherine Archer</t>
  </si>
  <si>
    <t>cathsarcher@hotmail.com</t>
  </si>
  <si>
    <t>29 May to 5 Jun</t>
  </si>
  <si>
    <t>4 Inc 2 Children (One BABY)</t>
  </si>
  <si>
    <t>Les Davies</t>
  </si>
  <si>
    <t>lesdavies121@hotmail.com</t>
  </si>
  <si>
    <t>18 Jul to 25 Jul</t>
  </si>
  <si>
    <t>5 Inc 2 children</t>
  </si>
  <si>
    <t>8 Sep to 22 Sep</t>
  </si>
  <si>
    <t>2 inc 0 Children</t>
  </si>
  <si>
    <t>Marianne Sjoebergh</t>
  </si>
  <si>
    <t>marianne@lamaro.se</t>
  </si>
  <si>
    <t>5 Nov to 10 Dec</t>
  </si>
  <si>
    <t>29 Aug to 7 Sep</t>
  </si>
  <si>
    <t>juergen.schwitzkowski@web.de</t>
  </si>
  <si>
    <t>Jürgen Schwitzkowski</t>
  </si>
  <si>
    <t>2 Inc 1 Children</t>
  </si>
  <si>
    <t>A/D/F1/B/F2 COMING IN SEP</t>
  </si>
  <si>
    <t>A/D/F1/B/F2-SENT SECOND BANK INFO REQUEST</t>
  </si>
  <si>
    <t>A/D/F1/B/F2-waiting reply</t>
  </si>
  <si>
    <t>Sharon Laws</t>
  </si>
  <si>
    <t>sharonlaws100@yahoo.com</t>
  </si>
  <si>
    <t>9 Oct to 16 Oct</t>
  </si>
  <si>
    <t>5 inc 1 children</t>
  </si>
  <si>
    <t>Frank Bannon</t>
  </si>
  <si>
    <t>francisbannon@btinternet.com</t>
  </si>
  <si>
    <t>FK</t>
  </si>
  <si>
    <t>19 Aug to 29 Aug</t>
  </si>
  <si>
    <t>Now</t>
  </si>
  <si>
    <t>A/D/F1/B/F2/RR/T</t>
  </si>
  <si>
    <t>Adam Bishop</t>
  </si>
  <si>
    <t>17 Jul 26 Jul</t>
  </si>
  <si>
    <t>abcis17@live.co.uk</t>
  </si>
  <si>
    <r>
      <t>A/D/F1/B/F2/</t>
    </r>
    <r>
      <rPr>
        <sz val="11"/>
        <color rgb="FFFF0000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/T</t>
    </r>
  </si>
  <si>
    <t>A/D/F1</t>
  </si>
  <si>
    <t>RFRA/D/F1/B/F2/HOLDING (300 E) DEPOSIT FOR NEXT YEAR</t>
  </si>
  <si>
    <t>5 to 19 May</t>
  </si>
  <si>
    <r>
      <t>Clan</t>
    </r>
    <r>
      <rPr>
        <b/>
        <sz val="11"/>
        <color rgb="FFFF0000"/>
        <rFont val="Calibri"/>
        <family val="2"/>
        <scheme val="minor"/>
      </rPr>
      <t xml:space="preserve"> INTERIM AND EXIT</t>
    </r>
  </si>
  <si>
    <r>
      <t>Clean</t>
    </r>
    <r>
      <rPr>
        <b/>
        <sz val="11"/>
        <color rgb="FFFF0000"/>
        <rFont val="Calibri"/>
        <family val="2"/>
        <scheme val="minor"/>
      </rPr>
      <t xml:space="preserve"> Exit Only</t>
    </r>
  </si>
  <si>
    <r>
      <t>Kenneth Thomson</t>
    </r>
    <r>
      <rPr>
        <sz val="11"/>
        <color rgb="FFFF0000"/>
        <rFont val="Calibri"/>
        <family val="2"/>
        <scheme val="minor"/>
      </rPr>
      <t xml:space="preserve"> (Ret Cust)</t>
    </r>
  </si>
  <si>
    <t>chunter6@talktalk.net &lt;------------ NEW EMAIL  chunter6@btinternet.com</t>
  </si>
  <si>
    <t>Kieran Guiry</t>
  </si>
  <si>
    <t>kieranguiry@gmail.com</t>
  </si>
  <si>
    <t>3 Jul 14 Jul</t>
  </si>
  <si>
    <t>5 inc 3 children</t>
  </si>
  <si>
    <t>11 Jun to 25 Jun</t>
  </si>
  <si>
    <t>cd001c5977@blueyonder.co.uk</t>
  </si>
  <si>
    <t>bryansheahan@gmail.com</t>
  </si>
  <si>
    <t>18 to 30 Dec</t>
  </si>
  <si>
    <t>6 inc 0 children</t>
  </si>
  <si>
    <r>
      <t>SETUP BOTH TRUNDLEBEDS Clen</t>
    </r>
    <r>
      <rPr>
        <b/>
        <sz val="11"/>
        <color rgb="FFFF0000"/>
        <rFont val="Calibri"/>
        <family val="2"/>
        <scheme val="minor"/>
      </rPr>
      <t xml:space="preserve"> Exit Only</t>
    </r>
  </si>
  <si>
    <t>Bryan Sheahan CANCELED</t>
  </si>
  <si>
    <r>
      <t xml:space="preserve">Robert Dempsey </t>
    </r>
    <r>
      <rPr>
        <sz val="11"/>
        <color rgb="FFFF0000"/>
        <rFont val="Calibri"/>
        <family val="2"/>
        <scheme val="minor"/>
      </rPr>
      <t>(Ret Cust)</t>
    </r>
  </si>
  <si>
    <t>Julian Banks</t>
  </si>
  <si>
    <t>Julianbanks@hotmail.com</t>
  </si>
  <si>
    <t>6 to 13 Jan</t>
  </si>
  <si>
    <t>26 may 2 june</t>
  </si>
  <si>
    <t>6 inc 2 children</t>
  </si>
  <si>
    <t>Guy Jones</t>
  </si>
  <si>
    <t>guy_jones1@hotmail.co.uk</t>
  </si>
  <si>
    <t>A/D/F1/B/F2/RR</t>
  </si>
  <si>
    <t>29 Jul to 12 Aug</t>
  </si>
  <si>
    <t>6 inc 4 childdren</t>
  </si>
  <si>
    <t>Ronnie Moyle</t>
  </si>
  <si>
    <t>ronnie.moyle@virgin.net</t>
  </si>
  <si>
    <t>2 Sep to 16 Sep</t>
  </si>
  <si>
    <t>4 Inc 0 Children</t>
  </si>
  <si>
    <t>Kevin Osborne</t>
  </si>
  <si>
    <t>kevin.osborne@piperhill-construction.co.uk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</si>
</sst>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2A2A2A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2A2A2A"/>
      <name val="Segoe UI"/>
      <family val="2"/>
    </font>
    <font>
      <sz val="11"/>
      <color rgb="FF2A2A2A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2A2A2A"/>
      <name val="Calibri"/>
      <family val="2"/>
      <scheme val="minor"/>
    </font>
    <font>
      <sz val="10"/>
      <color theme="1"/>
      <name val="Arial"/>
      <family val="2"/>
    </font>
    <font>
      <sz val="10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3" borderId="0" xfId="0" applyFont="1" applyFill="1"/>
    <xf numFmtId="0" fontId="3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/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top"/>
    </xf>
    <xf numFmtId="16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horizontal="right"/>
    </xf>
    <xf numFmtId="0" fontId="17" fillId="0" borderId="0" xfId="0" applyFont="1"/>
    <xf numFmtId="0" fontId="16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18" fillId="0" borderId="0" xfId="0" applyFont="1"/>
    <xf numFmtId="16" fontId="0" fillId="0" borderId="0" xfId="0" applyNumberFormat="1" applyAlignment="1">
      <alignment horizontal="left"/>
    </xf>
    <xf numFmtId="0" fontId="19" fillId="0" borderId="0" xfId="0" applyFont="1"/>
    <xf numFmtId="0" fontId="1" fillId="7" borderId="0" xfId="0" applyFont="1" applyFill="1" applyAlignment="1">
      <alignment horizontal="left"/>
    </xf>
    <xf numFmtId="0" fontId="21" fillId="8" borderId="0" xfId="0" applyFont="1" applyFill="1"/>
    <xf numFmtId="0" fontId="0" fillId="9" borderId="0" xfId="0" applyFill="1" applyAlignment="1">
      <alignment horizontal="left"/>
    </xf>
    <xf numFmtId="0" fontId="12" fillId="0" borderId="0" xfId="0" applyFont="1" applyFill="1" applyAlignment="1">
      <alignment vertical="center"/>
    </xf>
    <xf numFmtId="0" fontId="22" fillId="0" borderId="0" xfId="0" applyFont="1"/>
    <xf numFmtId="16" fontId="0" fillId="9" borderId="0" xfId="0" applyNumberFormat="1" applyFill="1" applyAlignment="1">
      <alignment horizontal="right"/>
    </xf>
    <xf numFmtId="0" fontId="3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23" fillId="0" borderId="0" xfId="0" applyFont="1"/>
    <xf numFmtId="0" fontId="23" fillId="0" borderId="0" xfId="0" applyFont="1" applyAlignment="1"/>
    <xf numFmtId="0" fontId="2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0"/>
  <sheetViews>
    <sheetView tabSelected="1" zoomScale="69" zoomScaleNormal="69" workbookViewId="0">
      <selection activeCell="S46" sqref="S46"/>
    </sheetView>
  </sheetViews>
  <sheetFormatPr defaultRowHeight="15"/>
  <cols>
    <col min="1" max="1" width="4.5703125" style="4" customWidth="1"/>
    <col min="2" max="2" width="34.140625" customWidth="1"/>
    <col min="3" max="3" width="30.140625" style="4" customWidth="1"/>
    <col min="4" max="4" width="6.85546875" style="4" customWidth="1"/>
    <col min="5" max="6" width="6.85546875" style="4" hidden="1" customWidth="1"/>
    <col min="7" max="7" width="28.85546875" style="4" customWidth="1"/>
    <col min="8" max="8" width="9.140625" style="4" customWidth="1"/>
    <col min="9" max="9" width="20.7109375" style="4" customWidth="1"/>
    <col min="10" max="10" width="20.85546875" style="4" customWidth="1"/>
    <col min="11" max="11" width="7" style="7" customWidth="1"/>
    <col min="12" max="12" width="10" customWidth="1"/>
    <col min="14" max="14" width="9.28515625" customWidth="1"/>
    <col min="15" max="15" width="10.42578125" customWidth="1"/>
    <col min="16" max="16" width="11.42578125" customWidth="1"/>
    <col min="17" max="18" width="12.7109375" customWidth="1"/>
    <col min="19" max="19" width="19.28515625" customWidth="1"/>
    <col min="20" max="20" width="13.140625" customWidth="1"/>
    <col min="22" max="22" width="10" customWidth="1"/>
    <col min="23" max="23" width="0.42578125" customWidth="1"/>
    <col min="24" max="24" width="11.42578125" customWidth="1"/>
    <col min="25" max="25" width="10.5703125" customWidth="1"/>
    <col min="29" max="29" width="36.42578125" customWidth="1"/>
  </cols>
  <sheetData>
    <row r="1" spans="1:29">
      <c r="B1" s="4" t="s">
        <v>27</v>
      </c>
      <c r="C1"/>
      <c r="L1" s="2">
        <v>0.15</v>
      </c>
      <c r="M1" t="s">
        <v>10</v>
      </c>
    </row>
    <row r="2" spans="1:29">
      <c r="C2" s="18"/>
      <c r="L2">
        <v>14</v>
      </c>
      <c r="M2" t="s">
        <v>5</v>
      </c>
      <c r="V2">
        <f>748+74</f>
        <v>822</v>
      </c>
    </row>
    <row r="3" spans="1:29">
      <c r="C3"/>
      <c r="L3">
        <v>5</v>
      </c>
      <c r="M3" t="s">
        <v>6</v>
      </c>
      <c r="O3">
        <f>IF(L3&gt;5,4,3)</f>
        <v>3</v>
      </c>
    </row>
    <row r="4" spans="1:29">
      <c r="C4"/>
      <c r="L4">
        <v>0</v>
      </c>
      <c r="M4" s="4" t="s">
        <v>32</v>
      </c>
    </row>
    <row r="5" spans="1:29">
      <c r="C5" s="6" t="s">
        <v>47</v>
      </c>
      <c r="L5" s="6" t="s">
        <v>1</v>
      </c>
      <c r="P5" s="1" t="s">
        <v>4</v>
      </c>
      <c r="T5" s="3" t="s">
        <v>12</v>
      </c>
      <c r="U5" s="1" t="s">
        <v>1</v>
      </c>
      <c r="X5" s="1" t="s">
        <v>1</v>
      </c>
    </row>
    <row r="6" spans="1:29">
      <c r="G6" s="4" t="s">
        <v>45</v>
      </c>
      <c r="I6" s="6" t="s">
        <v>38</v>
      </c>
      <c r="L6" s="6" t="s">
        <v>46</v>
      </c>
      <c r="M6" s="1"/>
      <c r="N6" s="1" t="s">
        <v>8</v>
      </c>
      <c r="O6" s="1"/>
      <c r="P6" s="1" t="s">
        <v>9</v>
      </c>
      <c r="Q6" s="1" t="s">
        <v>0</v>
      </c>
      <c r="R6" s="1" t="s">
        <v>7</v>
      </c>
      <c r="S6" s="1" t="s">
        <v>11</v>
      </c>
      <c r="T6" s="3" t="s">
        <v>11</v>
      </c>
      <c r="U6" s="1" t="s">
        <v>2</v>
      </c>
      <c r="X6" s="1" t="s">
        <v>3</v>
      </c>
    </row>
    <row r="7" spans="1:29">
      <c r="B7" s="4" t="s">
        <v>43</v>
      </c>
      <c r="C7" s="4">
        <v>390</v>
      </c>
      <c r="G7" s="4">
        <f>275/7*$L$2</f>
        <v>550</v>
      </c>
      <c r="I7" s="4">
        <f>L7/7*$L$2</f>
        <v>1000</v>
      </c>
      <c r="L7">
        <v>500</v>
      </c>
      <c r="M7" s="4"/>
      <c r="N7">
        <v>100</v>
      </c>
      <c r="P7" s="4">
        <f>IF($L$3&gt;4,$O$3*($L$3-4)*$L$2,0)</f>
        <v>42</v>
      </c>
      <c r="Q7" s="4">
        <f>ROUND((G7+N7+P7)*$L$1,0)</f>
        <v>104</v>
      </c>
      <c r="R7">
        <f>G7+N7+P7+Q7</f>
        <v>796</v>
      </c>
      <c r="S7" s="4">
        <f>ROUND(R7*0.039,0)*$L$4</f>
        <v>0</v>
      </c>
      <c r="T7" s="4">
        <f t="shared" ref="T7:T11" si="0">R7+S7</f>
        <v>796</v>
      </c>
      <c r="U7">
        <f>T7/$L$2</f>
        <v>56.857142857142854</v>
      </c>
    </row>
    <row r="8" spans="1:29">
      <c r="B8" s="4" t="s">
        <v>42</v>
      </c>
      <c r="C8" s="4">
        <v>475</v>
      </c>
      <c r="G8" s="4">
        <f>430/7*$L$2</f>
        <v>860</v>
      </c>
      <c r="I8" s="4">
        <f t="shared" ref="I8:I11" si="1">L8/7*$L$2</f>
        <v>1200</v>
      </c>
      <c r="L8" s="4">
        <v>600</v>
      </c>
      <c r="M8" s="4"/>
      <c r="N8" s="4">
        <v>100</v>
      </c>
      <c r="O8" s="4"/>
      <c r="P8" s="4">
        <f t="shared" ref="P8:P11" si="2">IF($L$3&gt;4,$O$3*($L$3-4)*$L$2,0)</f>
        <v>42</v>
      </c>
      <c r="Q8" s="4">
        <f>ROUND((G8+N8+P8)*$L$1,0)</f>
        <v>150</v>
      </c>
      <c r="R8" s="4">
        <f>G8+N8+P8+Q8</f>
        <v>1152</v>
      </c>
      <c r="S8" s="4">
        <f t="shared" ref="S8:S11" si="3">ROUND(R8*0.039,0)*$L$4</f>
        <v>0</v>
      </c>
      <c r="T8" s="4">
        <f t="shared" si="0"/>
        <v>1152</v>
      </c>
      <c r="U8" s="4">
        <f t="shared" ref="U8:U11" si="4">T8/$L$2</f>
        <v>82.285714285714292</v>
      </c>
    </row>
    <row r="9" spans="1:29" s="4" customFormat="1">
      <c r="B9" s="4" t="s">
        <v>41</v>
      </c>
      <c r="C9" s="4">
        <v>560</v>
      </c>
      <c r="G9" s="4">
        <f>560/7*$L$2</f>
        <v>1120</v>
      </c>
      <c r="I9" s="4">
        <f t="shared" si="1"/>
        <v>1400</v>
      </c>
      <c r="K9" s="7"/>
      <c r="L9" s="4">
        <v>700</v>
      </c>
      <c r="N9" s="4">
        <v>100</v>
      </c>
      <c r="P9" s="4">
        <f t="shared" si="2"/>
        <v>42</v>
      </c>
      <c r="Q9" s="4">
        <f>ROUND((G9+N9+P9)*$L$1,0)</f>
        <v>189</v>
      </c>
      <c r="R9" s="4">
        <f>G9+N9+P9+Q9</f>
        <v>1451</v>
      </c>
      <c r="S9" s="4">
        <f t="shared" si="3"/>
        <v>0</v>
      </c>
      <c r="T9" s="4">
        <f t="shared" si="0"/>
        <v>1451</v>
      </c>
      <c r="U9" s="4">
        <f t="shared" si="4"/>
        <v>103.64285714285714</v>
      </c>
    </row>
    <row r="10" spans="1:29" s="4" customFormat="1">
      <c r="B10" s="4" t="s">
        <v>44</v>
      </c>
      <c r="C10" s="4">
        <v>650</v>
      </c>
      <c r="G10" s="4">
        <f>650/7*$L$2</f>
        <v>1300</v>
      </c>
      <c r="I10" s="4">
        <f t="shared" si="1"/>
        <v>1600</v>
      </c>
      <c r="K10" s="7"/>
      <c r="L10" s="4">
        <v>800</v>
      </c>
      <c r="N10" s="4">
        <v>100</v>
      </c>
      <c r="P10" s="4">
        <f t="shared" si="2"/>
        <v>42</v>
      </c>
      <c r="Q10" s="4">
        <f>ROUND((G10+N10+P10)*$L$1,0)</f>
        <v>216</v>
      </c>
      <c r="R10" s="4">
        <f>G10+N10+P10+Q10</f>
        <v>1658</v>
      </c>
      <c r="S10" s="4">
        <f t="shared" si="3"/>
        <v>0</v>
      </c>
      <c r="T10" s="4">
        <f t="shared" si="0"/>
        <v>1658</v>
      </c>
      <c r="U10" s="4">
        <f t="shared" si="4"/>
        <v>118.42857142857143</v>
      </c>
    </row>
    <row r="11" spans="1:29">
      <c r="B11" s="4" t="s">
        <v>40</v>
      </c>
      <c r="C11" s="4">
        <v>845</v>
      </c>
      <c r="G11" s="4">
        <f>845/7*$L$2</f>
        <v>1690</v>
      </c>
      <c r="I11" s="4">
        <f t="shared" si="1"/>
        <v>2000</v>
      </c>
      <c r="L11" s="4">
        <v>1000</v>
      </c>
      <c r="M11" s="4"/>
      <c r="N11" s="4">
        <v>100</v>
      </c>
      <c r="O11" s="4"/>
      <c r="P11" s="4">
        <f t="shared" si="2"/>
        <v>42</v>
      </c>
      <c r="Q11" s="4">
        <f>ROUND((G11+N11+P11)*$L$1,0)</f>
        <v>275</v>
      </c>
      <c r="R11" s="4">
        <f>G11+N11+P11+Q11</f>
        <v>2107</v>
      </c>
      <c r="S11" s="4">
        <f t="shared" si="3"/>
        <v>0</v>
      </c>
      <c r="T11" s="4">
        <f t="shared" si="0"/>
        <v>2107</v>
      </c>
      <c r="U11" s="4">
        <f t="shared" si="4"/>
        <v>150.5</v>
      </c>
    </row>
    <row r="12" spans="1:29">
      <c r="N12" s="4"/>
      <c r="O12" s="4"/>
      <c r="P12" s="4"/>
      <c r="Q12" s="4"/>
    </row>
    <row r="13" spans="1:29">
      <c r="H13" s="4" t="s">
        <v>28</v>
      </c>
    </row>
    <row r="14" spans="1:29">
      <c r="B14" s="4" t="s">
        <v>13</v>
      </c>
      <c r="C14" s="4" t="s">
        <v>26</v>
      </c>
      <c r="D14" s="4" t="s">
        <v>14</v>
      </c>
      <c r="G14" s="4" t="s">
        <v>15</v>
      </c>
      <c r="H14" s="4" t="s">
        <v>29</v>
      </c>
      <c r="I14" s="4" t="s">
        <v>16</v>
      </c>
      <c r="L14" s="4"/>
      <c r="N14" s="6" t="s">
        <v>17</v>
      </c>
      <c r="O14" s="6" t="s">
        <v>18</v>
      </c>
      <c r="P14" s="6" t="s">
        <v>19</v>
      </c>
      <c r="Q14" s="6" t="s">
        <v>20</v>
      </c>
      <c r="R14" s="6" t="s">
        <v>39</v>
      </c>
      <c r="S14" s="7" t="s">
        <v>21</v>
      </c>
      <c r="T14" s="6" t="s">
        <v>7</v>
      </c>
      <c r="U14" s="6" t="s">
        <v>8</v>
      </c>
      <c r="V14" s="6" t="s">
        <v>22</v>
      </c>
      <c r="W14" s="6" t="s">
        <v>23</v>
      </c>
      <c r="X14" s="6" t="s">
        <v>24</v>
      </c>
      <c r="Y14" s="6" t="s">
        <v>25</v>
      </c>
      <c r="Z14" s="6"/>
      <c r="AC14" s="6"/>
    </row>
    <row r="15" spans="1:29" s="4" customFormat="1" ht="23.25">
      <c r="A15" s="30"/>
      <c r="B15" s="27">
        <v>2011</v>
      </c>
      <c r="C15" s="28"/>
      <c r="D15" s="29"/>
      <c r="E15" s="29"/>
      <c r="F15" s="29"/>
      <c r="G15" s="29"/>
      <c r="H15" s="29"/>
      <c r="I15" s="29"/>
      <c r="J15" s="30"/>
      <c r="K15" s="31"/>
      <c r="L15" s="32"/>
      <c r="M15" s="30"/>
      <c r="N15" s="33"/>
      <c r="O15" s="33"/>
      <c r="P15" s="30"/>
      <c r="Q15" s="34"/>
      <c r="R15" s="35"/>
      <c r="S15" s="31"/>
      <c r="T15" s="33"/>
      <c r="U15" s="33"/>
      <c r="V15" s="30"/>
      <c r="W15" s="33"/>
      <c r="X15" s="33"/>
      <c r="Y15" s="33"/>
    </row>
    <row r="16" spans="1:29" s="4" customFormat="1">
      <c r="B16" s="4" t="s">
        <v>80</v>
      </c>
      <c r="C16" s="4" t="s">
        <v>48</v>
      </c>
      <c r="D16" s="4" t="s">
        <v>49</v>
      </c>
      <c r="E16" s="4">
        <f>IF(D16=$B$1,H16,0)</f>
        <v>0</v>
      </c>
      <c r="F16" s="4">
        <f t="shared" ref="F16:F35" si="5">IF(E16&gt;0,0,1)</f>
        <v>1</v>
      </c>
      <c r="G16" s="4" t="s">
        <v>53</v>
      </c>
      <c r="H16" s="16">
        <v>13</v>
      </c>
      <c r="I16" s="4" t="s">
        <v>50</v>
      </c>
      <c r="J16" s="4" t="s">
        <v>71</v>
      </c>
      <c r="K16" s="7"/>
      <c r="L16" s="5"/>
      <c r="N16" s="52">
        <v>522</v>
      </c>
      <c r="O16" s="6">
        <v>0</v>
      </c>
      <c r="P16" s="4">
        <f>IF(N16&gt;0,((N16+300)-O16),0)</f>
        <v>822</v>
      </c>
      <c r="Q16" s="8" t="s">
        <v>51</v>
      </c>
      <c r="R16" s="3" t="s">
        <v>52</v>
      </c>
      <c r="S16" s="7" t="s">
        <v>21</v>
      </c>
      <c r="T16" s="6">
        <f t="shared" ref="T16:T35" si="6">P16+O16</f>
        <v>822</v>
      </c>
      <c r="U16" s="6">
        <f>IF(H16&gt;0,70,0)</f>
        <v>70</v>
      </c>
      <c r="V16" s="4">
        <f t="shared" ref="V16:V35" si="7">N16-U16</f>
        <v>452</v>
      </c>
      <c r="W16" s="6"/>
      <c r="X16" s="6">
        <f t="shared" ref="X16:X35" si="8">IF(H16&gt;0,30*F16,0)</f>
        <v>30</v>
      </c>
      <c r="Y16" s="6">
        <f t="shared" ref="Y16:Y35" si="9">V16-X16</f>
        <v>422</v>
      </c>
    </row>
    <row r="17" spans="2:25" s="4" customFormat="1">
      <c r="B17" s="53"/>
      <c r="C17" s="54"/>
      <c r="E17" s="4">
        <f t="shared" ref="E17:E35" si="10">IF(D17=$B$1,H17,0)</f>
        <v>0</v>
      </c>
      <c r="F17" s="4">
        <f t="shared" si="5"/>
        <v>1</v>
      </c>
      <c r="H17" s="16"/>
      <c r="K17" s="7"/>
      <c r="L17" s="5"/>
      <c r="N17" s="52">
        <v>0</v>
      </c>
      <c r="O17" s="6">
        <f t="shared" ref="O17:O33" si="11">ROUND((N17*0.4),0)</f>
        <v>0</v>
      </c>
      <c r="P17" s="4">
        <f t="shared" ref="P17:P33" si="12">IF(N17&gt;0,((N17+300)-O17),0)</f>
        <v>0</v>
      </c>
      <c r="Q17" s="8"/>
      <c r="R17" s="3"/>
      <c r="S17" s="7"/>
      <c r="T17" s="6">
        <f t="shared" ref="T17:T33" si="13">P17+O17</f>
        <v>0</v>
      </c>
      <c r="U17" s="6">
        <f t="shared" ref="U17:U33" si="14">IF(H17&gt;0,70,0)</f>
        <v>0</v>
      </c>
      <c r="V17" s="4">
        <f t="shared" ref="V17:V33" si="15">N17-U17</f>
        <v>0</v>
      </c>
      <c r="W17" s="6"/>
      <c r="X17" s="6">
        <f t="shared" ref="X17:X33" si="16">IF(H17&gt;0,30*F17,0)</f>
        <v>0</v>
      </c>
      <c r="Y17" s="6">
        <f t="shared" ref="Y17:Y33" si="17">V17-X17</f>
        <v>0</v>
      </c>
    </row>
    <row r="18" spans="2:25" s="4" customFormat="1">
      <c r="B18" s="4" t="s">
        <v>81</v>
      </c>
      <c r="C18" s="4" t="s">
        <v>59</v>
      </c>
      <c r="D18" s="4" t="s">
        <v>60</v>
      </c>
      <c r="E18" s="4">
        <f t="shared" si="10"/>
        <v>0</v>
      </c>
      <c r="F18" s="4">
        <f t="shared" si="5"/>
        <v>1</v>
      </c>
      <c r="G18" s="4" t="s">
        <v>61</v>
      </c>
      <c r="H18" s="16">
        <v>12</v>
      </c>
      <c r="I18" s="4" t="s">
        <v>62</v>
      </c>
      <c r="J18" s="4" t="s">
        <v>71</v>
      </c>
      <c r="K18" s="7"/>
      <c r="L18" s="5"/>
      <c r="N18" s="52">
        <v>963</v>
      </c>
      <c r="O18" s="6">
        <f t="shared" si="11"/>
        <v>385</v>
      </c>
      <c r="P18" s="4">
        <f t="shared" si="12"/>
        <v>878</v>
      </c>
      <c r="Q18" s="57">
        <v>40597</v>
      </c>
      <c r="R18" s="3" t="s">
        <v>52</v>
      </c>
      <c r="S18" s="66" t="s">
        <v>99</v>
      </c>
      <c r="T18" s="6">
        <f t="shared" si="13"/>
        <v>1263</v>
      </c>
      <c r="U18" s="6">
        <f t="shared" si="14"/>
        <v>70</v>
      </c>
      <c r="V18" s="4">
        <f t="shared" si="15"/>
        <v>893</v>
      </c>
      <c r="W18" s="6"/>
      <c r="X18" s="6">
        <f t="shared" si="16"/>
        <v>30</v>
      </c>
      <c r="Y18" s="6">
        <f t="shared" si="17"/>
        <v>863</v>
      </c>
    </row>
    <row r="19" spans="2:25" s="58" customFormat="1">
      <c r="B19" s="64" t="s">
        <v>82</v>
      </c>
      <c r="C19" s="4" t="s">
        <v>83</v>
      </c>
      <c r="D19" s="58" t="s">
        <v>54</v>
      </c>
      <c r="G19" s="58" t="s">
        <v>84</v>
      </c>
      <c r="H19" s="59">
        <v>7</v>
      </c>
      <c r="I19" s="58" t="s">
        <v>85</v>
      </c>
      <c r="J19" s="58" t="s">
        <v>71</v>
      </c>
      <c r="K19" s="60"/>
      <c r="L19" s="61"/>
      <c r="N19" s="52">
        <v>759</v>
      </c>
      <c r="O19" s="62">
        <f t="shared" si="11"/>
        <v>304</v>
      </c>
      <c r="P19" s="58">
        <f t="shared" si="12"/>
        <v>755</v>
      </c>
      <c r="Q19" s="57">
        <v>40636</v>
      </c>
      <c r="R19" s="65" t="s">
        <v>52</v>
      </c>
      <c r="S19" s="60" t="s">
        <v>100</v>
      </c>
      <c r="T19" s="62">
        <f t="shared" si="13"/>
        <v>1059</v>
      </c>
      <c r="U19" s="62">
        <f t="shared" si="14"/>
        <v>70</v>
      </c>
      <c r="V19" s="58">
        <f t="shared" si="15"/>
        <v>689</v>
      </c>
      <c r="W19" s="62"/>
      <c r="X19" s="62">
        <f t="shared" si="16"/>
        <v>0</v>
      </c>
      <c r="Y19" s="62">
        <f t="shared" si="17"/>
        <v>689</v>
      </c>
    </row>
    <row r="20" spans="2:25" s="4" customFormat="1">
      <c r="B20" s="53" t="s">
        <v>75</v>
      </c>
      <c r="C20" s="4" t="s">
        <v>74</v>
      </c>
      <c r="D20" s="4" t="s">
        <v>60</v>
      </c>
      <c r="E20" s="4">
        <f t="shared" si="10"/>
        <v>0</v>
      </c>
      <c r="F20" s="4">
        <f t="shared" si="5"/>
        <v>1</v>
      </c>
      <c r="G20" s="4" t="s">
        <v>72</v>
      </c>
      <c r="H20" s="16">
        <v>7</v>
      </c>
      <c r="I20" s="4" t="s">
        <v>73</v>
      </c>
      <c r="J20" s="4" t="s">
        <v>71</v>
      </c>
      <c r="K20" s="7"/>
      <c r="L20" s="5"/>
      <c r="N20" s="52">
        <v>887</v>
      </c>
      <c r="O20" s="6">
        <f t="shared" si="11"/>
        <v>355</v>
      </c>
      <c r="P20" s="4">
        <f t="shared" si="12"/>
        <v>832</v>
      </c>
      <c r="Q20" s="57">
        <v>40646</v>
      </c>
      <c r="R20" s="3" t="s">
        <v>52</v>
      </c>
      <c r="S20" s="7" t="s">
        <v>101</v>
      </c>
      <c r="T20" s="6">
        <f t="shared" si="13"/>
        <v>1187</v>
      </c>
      <c r="U20" s="6">
        <f t="shared" si="14"/>
        <v>70</v>
      </c>
      <c r="V20" s="4">
        <f t="shared" si="15"/>
        <v>817</v>
      </c>
      <c r="W20" s="6"/>
      <c r="X20" s="6">
        <f t="shared" si="16"/>
        <v>30</v>
      </c>
      <c r="Y20" s="6">
        <f t="shared" si="17"/>
        <v>787</v>
      </c>
    </row>
    <row r="21" spans="2:25" s="4" customFormat="1">
      <c r="N21" s="52">
        <v>0</v>
      </c>
      <c r="O21" s="6">
        <f t="shared" ref="O21" si="18">ROUND((N21*0.4),0)</f>
        <v>0</v>
      </c>
      <c r="P21" s="4">
        <f t="shared" ref="P21" si="19">IF(N21&gt;0,((N21+300)-O21),0)</f>
        <v>0</v>
      </c>
      <c r="Q21" s="8"/>
      <c r="R21" s="3"/>
      <c r="S21" s="7"/>
      <c r="T21" s="6">
        <f t="shared" ref="T21" si="20">P21+O21</f>
        <v>0</v>
      </c>
      <c r="U21" s="6">
        <f t="shared" ref="U21" si="21">IF(H21&gt;0,70,0)</f>
        <v>0</v>
      </c>
      <c r="V21" s="4">
        <f t="shared" ref="V21" si="22">N21-U21</f>
        <v>0</v>
      </c>
      <c r="W21" s="6"/>
      <c r="X21" s="6">
        <f t="shared" ref="X21" si="23">IF(H21&gt;0,30*F21,0)</f>
        <v>0</v>
      </c>
      <c r="Y21" s="6">
        <f t="shared" ref="Y21" si="24">V21-X21</f>
        <v>0</v>
      </c>
    </row>
    <row r="22" spans="2:25" s="4" customFormat="1" ht="15" customHeight="1">
      <c r="B22" s="16" t="s">
        <v>77</v>
      </c>
      <c r="C22" s="4" t="s">
        <v>76</v>
      </c>
      <c r="D22" s="4" t="s">
        <v>60</v>
      </c>
      <c r="E22" s="4">
        <f t="shared" ref="E22" si="25">IF(D22=$B$1,H22,0)</f>
        <v>0</v>
      </c>
      <c r="F22" s="4">
        <f t="shared" ref="F22" si="26">IF(E22&gt;0,0,1)</f>
        <v>1</v>
      </c>
      <c r="G22" s="4" t="s">
        <v>78</v>
      </c>
      <c r="H22" s="16">
        <v>14</v>
      </c>
      <c r="I22" s="4" t="s">
        <v>62</v>
      </c>
      <c r="J22" s="4" t="s">
        <v>71</v>
      </c>
      <c r="K22" s="7"/>
      <c r="L22" s="5"/>
      <c r="N22" s="52">
        <v>1610</v>
      </c>
      <c r="O22" s="6">
        <f t="shared" ref="O22" si="27">ROUND((N22*0.4),0)</f>
        <v>644</v>
      </c>
      <c r="P22" s="4">
        <f t="shared" ref="P22" si="28">IF(N22&gt;0,((N22+300)-O22),0)</f>
        <v>1266</v>
      </c>
      <c r="Q22" s="8">
        <v>40685</v>
      </c>
      <c r="R22" s="3" t="s">
        <v>52</v>
      </c>
      <c r="S22" s="7" t="s">
        <v>21</v>
      </c>
      <c r="T22" s="6">
        <f t="shared" ref="T22" si="29">P22+O22</f>
        <v>1910</v>
      </c>
      <c r="U22" s="6">
        <f t="shared" ref="U22" si="30">IF(H22&gt;0,70,0)</f>
        <v>70</v>
      </c>
      <c r="V22" s="4">
        <f t="shared" ref="V22" si="31">N22-U22</f>
        <v>1540</v>
      </c>
      <c r="W22" s="6"/>
      <c r="X22" s="6">
        <f t="shared" ref="X22" si="32">IF(H22&gt;0,30*F22,0)</f>
        <v>30</v>
      </c>
      <c r="Y22" s="6">
        <f t="shared" ref="Y22" si="33">V22-X22</f>
        <v>1510</v>
      </c>
    </row>
    <row r="23" spans="2:25" s="4" customFormat="1" ht="15" customHeight="1">
      <c r="B23" s="56" t="s">
        <v>56</v>
      </c>
      <c r="C23" s="55" t="s">
        <v>27</v>
      </c>
      <c r="D23" s="4" t="s">
        <v>27</v>
      </c>
      <c r="E23" s="4">
        <f>IF(D23=$B$1,H23,0)</f>
        <v>11</v>
      </c>
      <c r="F23" s="4">
        <f>IF(E23&gt;0,0,1)</f>
        <v>0</v>
      </c>
      <c r="G23" s="4" t="s">
        <v>79</v>
      </c>
      <c r="H23" s="16">
        <v>11</v>
      </c>
      <c r="I23" s="4" t="s">
        <v>57</v>
      </c>
      <c r="J23" s="4" t="s">
        <v>71</v>
      </c>
      <c r="K23" s="7"/>
      <c r="L23" s="5"/>
      <c r="N23" s="52">
        <v>0</v>
      </c>
      <c r="O23" s="6">
        <f>ROUND((N23*0.4),0)</f>
        <v>0</v>
      </c>
      <c r="P23" s="4">
        <f>IF(N23&gt;0,((N23+300)-O23),0)</f>
        <v>0</v>
      </c>
      <c r="Q23" s="8"/>
      <c r="R23" s="3" t="s">
        <v>27</v>
      </c>
      <c r="S23" s="7" t="s">
        <v>27</v>
      </c>
      <c r="T23" s="6">
        <f>P23+O23</f>
        <v>0</v>
      </c>
      <c r="U23" s="6">
        <f>IF(H23&gt;0,70,0)</f>
        <v>70</v>
      </c>
      <c r="V23" s="4">
        <f>N23-U23</f>
        <v>-70</v>
      </c>
      <c r="W23" s="6"/>
      <c r="X23" s="6">
        <f>IF(H23&gt;0,30*F23,0)</f>
        <v>0</v>
      </c>
      <c r="Y23" s="6">
        <f>V23-X23</f>
        <v>-70</v>
      </c>
    </row>
    <row r="24" spans="2:25" s="58" customFormat="1" ht="15" customHeight="1">
      <c r="B24" s="59" t="s">
        <v>86</v>
      </c>
      <c r="C24" s="4" t="s">
        <v>87</v>
      </c>
      <c r="D24" s="58" t="s">
        <v>60</v>
      </c>
      <c r="E24" s="58">
        <f>IF(D24=$B$1,H24,0)</f>
        <v>0</v>
      </c>
      <c r="F24" s="58">
        <f>IF(E24&gt;0,0,1)</f>
        <v>1</v>
      </c>
      <c r="G24" s="58" t="s">
        <v>88</v>
      </c>
      <c r="H24" s="59">
        <v>7</v>
      </c>
      <c r="I24" s="58" t="s">
        <v>89</v>
      </c>
      <c r="J24" s="58" t="s">
        <v>71</v>
      </c>
      <c r="K24" s="60"/>
      <c r="L24" s="61"/>
      <c r="N24" s="52">
        <v>1111</v>
      </c>
      <c r="O24" s="62">
        <f>ROUND((N24*0.4),0)</f>
        <v>444</v>
      </c>
      <c r="P24" s="58">
        <f>IF(N24&gt;0,((N24+300)-O24),0)</f>
        <v>967</v>
      </c>
      <c r="Q24" s="57">
        <v>40686</v>
      </c>
      <c r="R24" s="65" t="s">
        <v>52</v>
      </c>
      <c r="S24" s="60" t="s">
        <v>21</v>
      </c>
      <c r="T24" s="62">
        <f>P24+O24</f>
        <v>1411</v>
      </c>
      <c r="U24" s="62">
        <f>IF(H24&gt;0,70,0)</f>
        <v>70</v>
      </c>
      <c r="V24" s="58">
        <f>N24-U24</f>
        <v>1041</v>
      </c>
      <c r="W24" s="62"/>
      <c r="X24" s="62">
        <f>IF(H24&gt;0,30*F24,0)</f>
        <v>30</v>
      </c>
      <c r="Y24" s="62">
        <f>V24-X24</f>
        <v>1011</v>
      </c>
    </row>
    <row r="25" spans="2:25" s="4" customFormat="1">
      <c r="B25" s="53" t="s">
        <v>68</v>
      </c>
      <c r="C25" s="4" t="s">
        <v>67</v>
      </c>
      <c r="D25" s="4" t="s">
        <v>60</v>
      </c>
      <c r="E25" s="4">
        <f>IF(D25=$B$1,H25,0)</f>
        <v>0</v>
      </c>
      <c r="F25" s="4">
        <f>IF(E25&gt;0,0,1)</f>
        <v>1</v>
      </c>
      <c r="G25" s="4" t="s">
        <v>69</v>
      </c>
      <c r="H25" s="16">
        <v>10</v>
      </c>
      <c r="I25" s="4" t="s">
        <v>70</v>
      </c>
      <c r="J25" s="4" t="s">
        <v>71</v>
      </c>
      <c r="K25" s="7"/>
      <c r="L25" s="5"/>
      <c r="N25" s="52">
        <v>1503</v>
      </c>
      <c r="O25" s="6">
        <f>ROUND((N25*0.4),0)</f>
        <v>601</v>
      </c>
      <c r="P25" s="4">
        <f>IF(N25&gt;0,((N25+300)-O25),0)</f>
        <v>1202</v>
      </c>
      <c r="Q25" s="57">
        <v>40665</v>
      </c>
      <c r="R25" s="3" t="s">
        <v>52</v>
      </c>
      <c r="S25" s="7" t="s">
        <v>21</v>
      </c>
      <c r="T25" s="6">
        <f>P25+O25</f>
        <v>1803</v>
      </c>
      <c r="U25" s="6">
        <f>IF(H25&gt;0,70,0)</f>
        <v>70</v>
      </c>
      <c r="V25" s="4">
        <f>N25-U25</f>
        <v>1433</v>
      </c>
      <c r="W25" s="6"/>
      <c r="X25" s="6">
        <f>IF(H25&gt;0,30*F25,0)</f>
        <v>30</v>
      </c>
      <c r="Y25" s="6">
        <f>V25-X25</f>
        <v>1403</v>
      </c>
    </row>
    <row r="26" spans="2:25" s="4" customFormat="1" ht="21">
      <c r="B26" s="53" t="s">
        <v>65</v>
      </c>
      <c r="C26" s="4" t="s">
        <v>66</v>
      </c>
      <c r="D26" s="4" t="s">
        <v>54</v>
      </c>
      <c r="E26" s="4">
        <f>IF(D26=$B$1,H26,0)</f>
        <v>0</v>
      </c>
      <c r="F26" s="4">
        <f>IF(E26&gt;0,0,1)</f>
        <v>1</v>
      </c>
      <c r="G26" s="4" t="s">
        <v>58</v>
      </c>
      <c r="H26" s="16">
        <v>14</v>
      </c>
      <c r="I26" s="4" t="s">
        <v>55</v>
      </c>
      <c r="J26" s="4" t="s">
        <v>71</v>
      </c>
      <c r="K26" s="7"/>
      <c r="L26" s="5"/>
      <c r="N26" s="52">
        <v>1978</v>
      </c>
      <c r="O26" s="6">
        <f>ROUND((N26*0.4),0)</f>
        <v>791</v>
      </c>
      <c r="P26" s="4">
        <f>IF(N26&gt;0,((N26+300)-O26),0)</f>
        <v>1487</v>
      </c>
      <c r="Q26" s="57">
        <v>40368</v>
      </c>
      <c r="R26" s="3" t="s">
        <v>52</v>
      </c>
      <c r="S26" s="60" t="s">
        <v>111</v>
      </c>
      <c r="T26" s="6">
        <f>P26+O26</f>
        <v>2278</v>
      </c>
      <c r="U26" s="6">
        <f>IF(H26&gt;0,70,0)</f>
        <v>70</v>
      </c>
      <c r="V26" s="4">
        <f>N26-U26</f>
        <v>1908</v>
      </c>
      <c r="W26" s="6"/>
      <c r="X26" s="6">
        <v>30</v>
      </c>
      <c r="Y26" s="6">
        <f>V26-X26</f>
        <v>1878</v>
      </c>
    </row>
    <row r="27" spans="2:25" s="4" customFormat="1">
      <c r="B27" s="4" t="s">
        <v>106</v>
      </c>
      <c r="C27" s="4" t="s">
        <v>107</v>
      </c>
      <c r="D27" s="4" t="s">
        <v>108</v>
      </c>
      <c r="E27" s="4">
        <f t="shared" ref="E27" si="34">IF(D27=$B$1,H27,0)</f>
        <v>0</v>
      </c>
      <c r="F27" s="4">
        <f t="shared" ref="F27" si="35">IF(E27&gt;0,0,1)</f>
        <v>1</v>
      </c>
      <c r="G27" s="4" t="s">
        <v>109</v>
      </c>
      <c r="H27" s="16">
        <v>10</v>
      </c>
      <c r="I27" s="4" t="s">
        <v>91</v>
      </c>
      <c r="J27" s="4" t="s">
        <v>71</v>
      </c>
      <c r="K27" s="7"/>
      <c r="L27" s="5"/>
      <c r="N27" s="52">
        <v>1503</v>
      </c>
      <c r="O27" s="6">
        <f t="shared" ref="O27" si="36">ROUND((N27*0.4),0)</f>
        <v>601</v>
      </c>
      <c r="P27" s="4">
        <f t="shared" ref="P27" si="37">IF(N27&gt;0,((N27+300)-O27),0)</f>
        <v>1202</v>
      </c>
      <c r="Q27" s="8" t="s">
        <v>110</v>
      </c>
      <c r="R27" s="3" t="s">
        <v>52</v>
      </c>
      <c r="S27" s="60" t="s">
        <v>115</v>
      </c>
      <c r="T27" s="62">
        <f t="shared" ref="T27" si="38">P27+O27</f>
        <v>1803</v>
      </c>
      <c r="U27" s="6">
        <f t="shared" ref="U27" si="39">IF(H27&gt;0,70,0)</f>
        <v>70</v>
      </c>
      <c r="V27" s="4">
        <f t="shared" ref="V27" si="40">N27-U27</f>
        <v>1433</v>
      </c>
      <c r="W27" s="6"/>
      <c r="X27" s="6">
        <f t="shared" ref="X27" si="41">IF(H27&gt;0,30*F27,0)</f>
        <v>30</v>
      </c>
      <c r="Y27" s="6">
        <f t="shared" ref="Y27" si="42">V27-X27</f>
        <v>1403</v>
      </c>
    </row>
    <row r="28" spans="2:25" s="4" customFormat="1">
      <c r="B28" t="s">
        <v>97</v>
      </c>
      <c r="C28" s="53" t="s">
        <v>96</v>
      </c>
      <c r="E28" s="4">
        <f t="shared" si="10"/>
        <v>0</v>
      </c>
      <c r="F28" s="4">
        <f t="shared" si="5"/>
        <v>1</v>
      </c>
      <c r="G28" s="58" t="s">
        <v>95</v>
      </c>
      <c r="H28" s="16">
        <v>9</v>
      </c>
      <c r="I28" s="4" t="s">
        <v>98</v>
      </c>
      <c r="J28" s="4" t="s">
        <v>71</v>
      </c>
      <c r="K28" s="7"/>
      <c r="L28" s="5"/>
      <c r="N28" s="52">
        <v>943</v>
      </c>
      <c r="O28" s="6">
        <f t="shared" si="11"/>
        <v>377</v>
      </c>
      <c r="P28" s="4">
        <f t="shared" si="12"/>
        <v>866</v>
      </c>
      <c r="Q28" s="8">
        <v>40728</v>
      </c>
      <c r="R28" s="3" t="s">
        <v>52</v>
      </c>
      <c r="S28" s="60" t="s">
        <v>21</v>
      </c>
      <c r="T28" s="6">
        <f t="shared" si="13"/>
        <v>1243</v>
      </c>
      <c r="U28" s="6">
        <f t="shared" si="14"/>
        <v>70</v>
      </c>
      <c r="V28" s="4">
        <f t="shared" si="15"/>
        <v>873</v>
      </c>
      <c r="W28" s="6"/>
      <c r="X28" s="6">
        <f t="shared" si="16"/>
        <v>30</v>
      </c>
      <c r="Y28" s="6">
        <f t="shared" si="17"/>
        <v>843</v>
      </c>
    </row>
    <row r="29" spans="2:25" s="4" customFormat="1">
      <c r="B29" s="4" t="s">
        <v>81</v>
      </c>
      <c r="C29" s="4" t="s">
        <v>59</v>
      </c>
      <c r="D29" s="4" t="s">
        <v>60</v>
      </c>
      <c r="E29" s="4">
        <f t="shared" si="10"/>
        <v>0</v>
      </c>
      <c r="F29" s="4">
        <f t="shared" si="5"/>
        <v>1</v>
      </c>
      <c r="G29" s="4" t="s">
        <v>90</v>
      </c>
      <c r="H29" s="16">
        <v>14</v>
      </c>
      <c r="I29" s="4" t="s">
        <v>91</v>
      </c>
      <c r="J29" s="4" t="s">
        <v>71</v>
      </c>
      <c r="K29" s="7"/>
      <c r="L29" s="5"/>
      <c r="N29" s="52">
        <f>ROUNDUP(1403*0.9,0)</f>
        <v>1263</v>
      </c>
      <c r="O29" s="6">
        <f t="shared" si="11"/>
        <v>505</v>
      </c>
      <c r="P29" s="4">
        <f t="shared" si="12"/>
        <v>1058</v>
      </c>
      <c r="Q29" s="8">
        <v>40738</v>
      </c>
      <c r="R29" s="3" t="s">
        <v>52</v>
      </c>
      <c r="S29" s="70" t="s">
        <v>117</v>
      </c>
      <c r="T29" s="6">
        <f t="shared" si="13"/>
        <v>1563</v>
      </c>
      <c r="U29" s="6">
        <f t="shared" si="14"/>
        <v>70</v>
      </c>
      <c r="V29" s="4">
        <f t="shared" si="15"/>
        <v>1193</v>
      </c>
      <c r="W29" s="6"/>
      <c r="X29" s="6">
        <f t="shared" si="16"/>
        <v>30</v>
      </c>
      <c r="Y29" s="6">
        <f t="shared" si="17"/>
        <v>1163</v>
      </c>
    </row>
    <row r="30" spans="2:25" s="4" customFormat="1">
      <c r="B30" s="53" t="s">
        <v>63</v>
      </c>
      <c r="C30" s="4" t="s">
        <v>122</v>
      </c>
      <c r="D30" s="4" t="s">
        <v>54</v>
      </c>
      <c r="E30" s="4">
        <f t="shared" si="10"/>
        <v>0</v>
      </c>
      <c r="F30" s="4">
        <f t="shared" si="5"/>
        <v>1</v>
      </c>
      <c r="G30" s="4" t="s">
        <v>64</v>
      </c>
      <c r="H30" s="16">
        <v>7</v>
      </c>
      <c r="I30" s="4" t="s">
        <v>50</v>
      </c>
      <c r="J30" s="4" t="s">
        <v>71</v>
      </c>
      <c r="K30" s="7"/>
      <c r="L30" s="5"/>
      <c r="N30" s="52">
        <v>759</v>
      </c>
      <c r="O30" s="6">
        <f t="shared" si="11"/>
        <v>304</v>
      </c>
      <c r="P30" s="4">
        <f t="shared" si="12"/>
        <v>755</v>
      </c>
      <c r="Q30" s="57">
        <v>40760</v>
      </c>
      <c r="R30" s="3" t="s">
        <v>52</v>
      </c>
      <c r="S30" s="60" t="s">
        <v>111</v>
      </c>
      <c r="T30" s="6">
        <f t="shared" si="13"/>
        <v>1059</v>
      </c>
      <c r="U30" s="6">
        <f t="shared" si="14"/>
        <v>70</v>
      </c>
      <c r="V30" s="4">
        <f t="shared" si="15"/>
        <v>689</v>
      </c>
      <c r="W30" s="6"/>
      <c r="X30" s="6">
        <f t="shared" si="16"/>
        <v>30</v>
      </c>
      <c r="Y30" s="6">
        <f t="shared" si="17"/>
        <v>659</v>
      </c>
    </row>
    <row r="31" spans="2:25" s="4" customFormat="1">
      <c r="B31" s="16" t="s">
        <v>102</v>
      </c>
      <c r="C31" s="4" t="s">
        <v>103</v>
      </c>
      <c r="D31" s="4" t="s">
        <v>60</v>
      </c>
      <c r="E31" s="4">
        <f t="shared" si="10"/>
        <v>0</v>
      </c>
      <c r="F31" s="4">
        <f t="shared" si="5"/>
        <v>1</v>
      </c>
      <c r="G31" s="4" t="s">
        <v>104</v>
      </c>
      <c r="H31" s="16">
        <v>7</v>
      </c>
      <c r="I31" s="4" t="s">
        <v>105</v>
      </c>
      <c r="J31" s="4" t="s">
        <v>71</v>
      </c>
      <c r="K31" s="7"/>
      <c r="L31" s="5"/>
      <c r="N31" s="52">
        <v>634</v>
      </c>
      <c r="O31" s="6">
        <f t="shared" si="11"/>
        <v>254</v>
      </c>
      <c r="P31" s="4">
        <f t="shared" si="12"/>
        <v>680</v>
      </c>
      <c r="Q31" s="8">
        <v>40769</v>
      </c>
      <c r="R31" s="3" t="s">
        <v>52</v>
      </c>
      <c r="S31" s="60" t="s">
        <v>111</v>
      </c>
      <c r="T31" s="6">
        <f t="shared" si="13"/>
        <v>934</v>
      </c>
      <c r="U31" s="6">
        <f t="shared" si="14"/>
        <v>70</v>
      </c>
      <c r="V31" s="4">
        <f t="shared" si="15"/>
        <v>564</v>
      </c>
      <c r="W31" s="6"/>
      <c r="X31" s="6">
        <f t="shared" si="16"/>
        <v>30</v>
      </c>
      <c r="Y31" s="6">
        <f t="shared" si="17"/>
        <v>534</v>
      </c>
    </row>
    <row r="32" spans="2:25" s="4" customFormat="1">
      <c r="B32"/>
      <c r="C32" s="16"/>
      <c r="E32" s="4">
        <f t="shared" si="10"/>
        <v>0</v>
      </c>
      <c r="F32" s="4">
        <f t="shared" si="5"/>
        <v>1</v>
      </c>
      <c r="H32" s="16"/>
      <c r="K32" s="7"/>
      <c r="L32" s="5"/>
      <c r="N32" s="52">
        <v>0</v>
      </c>
      <c r="O32" s="6">
        <f t="shared" si="11"/>
        <v>0</v>
      </c>
      <c r="P32" s="4">
        <f t="shared" si="12"/>
        <v>0</v>
      </c>
      <c r="Q32" s="8"/>
      <c r="R32" s="3"/>
      <c r="S32" s="7"/>
      <c r="T32" s="6">
        <f t="shared" si="13"/>
        <v>0</v>
      </c>
      <c r="U32" s="6">
        <f t="shared" si="14"/>
        <v>0</v>
      </c>
      <c r="V32" s="4">
        <f t="shared" si="15"/>
        <v>0</v>
      </c>
      <c r="W32" s="6"/>
      <c r="X32" s="6">
        <f t="shared" si="16"/>
        <v>0</v>
      </c>
      <c r="Y32" s="6">
        <f t="shared" si="17"/>
        <v>0</v>
      </c>
    </row>
    <row r="33" spans="1:25" s="4" customFormat="1" ht="15.75">
      <c r="B33" s="63" t="s">
        <v>92</v>
      </c>
      <c r="C33" s="4" t="s">
        <v>93</v>
      </c>
      <c r="D33" s="4" t="s">
        <v>54</v>
      </c>
      <c r="E33" s="4">
        <f t="shared" si="10"/>
        <v>0</v>
      </c>
      <c r="F33" s="4">
        <f t="shared" si="5"/>
        <v>1</v>
      </c>
      <c r="G33" s="58" t="s">
        <v>94</v>
      </c>
      <c r="H33" s="16">
        <v>35</v>
      </c>
      <c r="I33" s="4" t="s">
        <v>62</v>
      </c>
      <c r="J33" s="4" t="s">
        <v>71</v>
      </c>
      <c r="K33" s="7"/>
      <c r="L33" s="5"/>
      <c r="N33" s="52">
        <v>1380</v>
      </c>
      <c r="O33" s="6">
        <f t="shared" si="11"/>
        <v>552</v>
      </c>
      <c r="P33" s="4">
        <f t="shared" si="12"/>
        <v>1128</v>
      </c>
      <c r="Q33" s="57">
        <v>40796</v>
      </c>
      <c r="R33" s="3" t="s">
        <v>52</v>
      </c>
      <c r="S33" s="7" t="s">
        <v>111</v>
      </c>
      <c r="T33" s="6">
        <f t="shared" si="13"/>
        <v>1680</v>
      </c>
      <c r="U33" s="6">
        <f t="shared" si="14"/>
        <v>70</v>
      </c>
      <c r="V33" s="4">
        <f t="shared" si="15"/>
        <v>1310</v>
      </c>
      <c r="W33" s="6"/>
      <c r="X33" s="6">
        <f t="shared" si="16"/>
        <v>30</v>
      </c>
      <c r="Y33" s="6">
        <f t="shared" si="17"/>
        <v>1280</v>
      </c>
    </row>
    <row r="34" spans="1:25" s="4" customFormat="1">
      <c r="B34" s="71" t="s">
        <v>133</v>
      </c>
      <c r="C34" s="4" t="s">
        <v>129</v>
      </c>
      <c r="D34" s="4" t="s">
        <v>54</v>
      </c>
      <c r="E34" s="4">
        <f t="shared" si="10"/>
        <v>0</v>
      </c>
      <c r="F34" s="4">
        <f t="shared" si="5"/>
        <v>1</v>
      </c>
      <c r="G34" s="58" t="s">
        <v>130</v>
      </c>
      <c r="H34" s="16">
        <v>12</v>
      </c>
      <c r="I34" s="4" t="s">
        <v>131</v>
      </c>
      <c r="J34" s="4" t="s">
        <v>132</v>
      </c>
      <c r="K34" s="7"/>
      <c r="L34" s="5"/>
      <c r="N34" s="52">
        <v>822</v>
      </c>
      <c r="O34" s="6">
        <v>0</v>
      </c>
      <c r="P34" s="4">
        <f t="shared" ref="P34:P35" si="43">IF(N34&gt;0,((N34+300)-O34),0)</f>
        <v>1122</v>
      </c>
      <c r="Q34" s="8" t="s">
        <v>51</v>
      </c>
      <c r="R34" s="3" t="s">
        <v>52</v>
      </c>
      <c r="S34" s="7"/>
      <c r="T34" s="6">
        <f t="shared" si="6"/>
        <v>1122</v>
      </c>
      <c r="U34" s="6">
        <f t="shared" ref="U34:U35" si="44">IF(H34&gt;0,70,0)</f>
        <v>70</v>
      </c>
      <c r="V34" s="4">
        <f t="shared" si="7"/>
        <v>752</v>
      </c>
      <c r="W34" s="6"/>
      <c r="X34" s="6">
        <f t="shared" si="8"/>
        <v>30</v>
      </c>
      <c r="Y34" s="6">
        <f t="shared" si="9"/>
        <v>722</v>
      </c>
    </row>
    <row r="35" spans="1:25" s="4" customFormat="1">
      <c r="B35" s="16"/>
      <c r="E35" s="4">
        <f t="shared" si="10"/>
        <v>0</v>
      </c>
      <c r="F35" s="4">
        <f t="shared" si="5"/>
        <v>1</v>
      </c>
      <c r="H35" s="16"/>
      <c r="K35" s="7"/>
      <c r="L35" s="5"/>
      <c r="N35" s="52">
        <v>0</v>
      </c>
      <c r="O35" s="6">
        <f t="shared" ref="O35" si="45">ROUND((N35*0.4),0)</f>
        <v>0</v>
      </c>
      <c r="P35" s="4">
        <f t="shared" si="43"/>
        <v>0</v>
      </c>
      <c r="Q35" s="8"/>
      <c r="R35" s="3"/>
      <c r="S35" s="7"/>
      <c r="T35" s="6">
        <f t="shared" si="6"/>
        <v>0</v>
      </c>
      <c r="U35" s="6">
        <f t="shared" si="44"/>
        <v>0</v>
      </c>
      <c r="V35" s="4">
        <f t="shared" si="7"/>
        <v>0</v>
      </c>
      <c r="W35" s="6"/>
      <c r="X35" s="6">
        <f t="shared" si="8"/>
        <v>0</v>
      </c>
      <c r="Y35" s="6">
        <f t="shared" si="9"/>
        <v>0</v>
      </c>
    </row>
    <row r="36" spans="1:25" s="4" customFormat="1">
      <c r="B36" s="16"/>
      <c r="C36" s="9"/>
      <c r="D36" s="16"/>
      <c r="E36" s="4">
        <f>IF(D36=$B$11,H36,0)</f>
        <v>0</v>
      </c>
      <c r="F36" s="4">
        <f t="shared" ref="F36" si="46">IF(E36&gt;0,0,1)</f>
        <v>1</v>
      </c>
      <c r="G36" s="16"/>
      <c r="H36" s="16">
        <v>0</v>
      </c>
      <c r="I36" s="16"/>
      <c r="K36" s="7"/>
      <c r="L36" s="5"/>
      <c r="N36" s="52">
        <v>0</v>
      </c>
      <c r="O36" s="6">
        <f>ROUND((N36*0.4),0)</f>
        <v>0</v>
      </c>
      <c r="P36" s="4">
        <f t="shared" ref="P36" si="47">IF(N36&gt;0,((N36+300)-O36),0)</f>
        <v>0</v>
      </c>
      <c r="Q36" s="8"/>
      <c r="R36" s="3"/>
      <c r="S36" s="7"/>
      <c r="T36" s="6">
        <f t="shared" ref="T36" si="48">P36+O36</f>
        <v>0</v>
      </c>
      <c r="U36" s="6">
        <f t="shared" ref="U36" si="49">IF(H36&gt;0,70,0)</f>
        <v>0</v>
      </c>
      <c r="V36" s="4">
        <f t="shared" ref="V36" si="50">N36-U36</f>
        <v>0</v>
      </c>
      <c r="W36" s="6"/>
      <c r="X36" s="6">
        <f t="shared" ref="X36" si="51">IF(H36&gt;0,30*F36,0)</f>
        <v>0</v>
      </c>
      <c r="Y36" s="6">
        <f t="shared" ref="Y36" si="52">V36-X36</f>
        <v>0</v>
      </c>
    </row>
    <row r="37" spans="1:25" s="4" customFormat="1">
      <c r="A37" s="44"/>
      <c r="B37" s="45"/>
      <c r="C37" s="46"/>
      <c r="D37" s="45"/>
      <c r="E37" s="45"/>
      <c r="F37" s="45"/>
      <c r="G37" s="45"/>
      <c r="H37" s="45"/>
      <c r="I37" s="45"/>
      <c r="J37" s="44"/>
      <c r="K37" s="47"/>
      <c r="L37" s="48"/>
      <c r="M37" s="44"/>
      <c r="N37" s="49">
        <f>SUM(N15:N36)</f>
        <v>16637</v>
      </c>
      <c r="O37" s="50"/>
      <c r="P37" s="44"/>
      <c r="Q37" s="51"/>
      <c r="R37" s="49"/>
      <c r="S37" s="47"/>
      <c r="T37" s="50"/>
      <c r="U37" s="50"/>
      <c r="V37" s="44"/>
      <c r="W37" s="50"/>
      <c r="X37" s="50"/>
      <c r="Y37" s="49">
        <f>SUM(Y15:Y36)</f>
        <v>15097</v>
      </c>
    </row>
    <row r="38" spans="1:25" s="4" customFormat="1" ht="23.25">
      <c r="A38" s="30"/>
      <c r="B38" s="27">
        <v>2012</v>
      </c>
      <c r="C38" s="28"/>
      <c r="D38" s="29"/>
      <c r="E38" s="29"/>
      <c r="F38" s="29"/>
      <c r="G38" s="29"/>
      <c r="H38" s="29"/>
      <c r="I38" s="29"/>
      <c r="J38" s="30"/>
      <c r="K38" s="31"/>
      <c r="L38" s="32"/>
      <c r="M38" s="30"/>
      <c r="N38" s="33"/>
      <c r="O38" s="33"/>
      <c r="P38" s="30"/>
      <c r="Q38" s="34"/>
      <c r="R38" s="35"/>
      <c r="S38" s="31"/>
      <c r="T38" s="33"/>
      <c r="U38" s="33"/>
      <c r="V38" s="30"/>
      <c r="W38" s="33"/>
      <c r="X38" s="33"/>
      <c r="Y38" s="33"/>
    </row>
    <row r="39" spans="1:25" s="4" customFormat="1">
      <c r="B39" s="67"/>
      <c r="E39" s="4">
        <f t="shared" ref="E39:E48" si="53">IF(D39=$B$11,H39,0)</f>
        <v>0</v>
      </c>
      <c r="F39" s="4">
        <f t="shared" ref="F39:F48" si="54">IF(E39&gt;0,0,1)</f>
        <v>1</v>
      </c>
      <c r="H39" s="16"/>
      <c r="K39" s="7"/>
      <c r="L39" s="5"/>
      <c r="N39" s="52">
        <v>0</v>
      </c>
      <c r="O39" s="6">
        <f>ROUND((N39*0.4),0)</f>
        <v>0</v>
      </c>
      <c r="P39" s="4">
        <f t="shared" ref="P39:P48" si="55">IF(N39&gt;0,((N39+300)-O39),0)</f>
        <v>0</v>
      </c>
      <c r="Q39" s="68"/>
      <c r="R39" s="3"/>
      <c r="S39" s="60"/>
      <c r="T39" s="6">
        <f t="shared" ref="T39:T48" si="56">P39+O39</f>
        <v>0</v>
      </c>
      <c r="U39" s="6">
        <f t="shared" ref="U39:U48" si="57">IF(H39&gt;0,70,0)</f>
        <v>0</v>
      </c>
      <c r="V39" s="4">
        <f t="shared" ref="V39:V48" si="58">N39-U39</f>
        <v>0</v>
      </c>
      <c r="W39" s="6"/>
      <c r="X39" s="6">
        <f t="shared" ref="X39:X48" si="59">IF(H39&gt;0,30*F39,0)</f>
        <v>0</v>
      </c>
      <c r="Y39" s="6">
        <f t="shared" ref="Y39:Y48" si="60">V39-X39</f>
        <v>0</v>
      </c>
    </row>
    <row r="40" spans="1:25" s="4" customFormat="1">
      <c r="B40" s="74" t="s">
        <v>135</v>
      </c>
      <c r="C40" s="4" t="s">
        <v>136</v>
      </c>
      <c r="D40" s="4" t="s">
        <v>60</v>
      </c>
      <c r="G40" s="4" t="s">
        <v>137</v>
      </c>
      <c r="H40" s="16">
        <v>7</v>
      </c>
      <c r="I40" s="58" t="s">
        <v>62</v>
      </c>
      <c r="J40" s="4" t="s">
        <v>120</v>
      </c>
      <c r="K40" s="7"/>
      <c r="L40" s="5"/>
      <c r="N40" s="52">
        <v>431</v>
      </c>
      <c r="O40" s="6">
        <f>ROUND((N40*0.4),0)</f>
        <v>172</v>
      </c>
      <c r="P40" s="4">
        <f t="shared" ref="P40" si="61">IF(N40&gt;0,((N40+300)-O40),0)</f>
        <v>559</v>
      </c>
      <c r="Q40" s="68" t="s">
        <v>51</v>
      </c>
      <c r="R40" s="3"/>
      <c r="S40" s="72" t="s">
        <v>142</v>
      </c>
      <c r="T40" s="6">
        <f t="shared" ref="T40" si="62">P40+O40</f>
        <v>731</v>
      </c>
      <c r="U40" s="6">
        <f t="shared" ref="U40" si="63">IF(H40&gt;0,70,0)</f>
        <v>70</v>
      </c>
      <c r="V40" s="4">
        <f t="shared" ref="V40" si="64">N40-U40</f>
        <v>361</v>
      </c>
      <c r="W40" s="6"/>
      <c r="X40" s="6">
        <f t="shared" ref="X40" si="65">IF(H40&gt;0,30*F40,0)</f>
        <v>0</v>
      </c>
      <c r="Y40" s="6">
        <f t="shared" ref="Y40" si="66">V40-X40</f>
        <v>361</v>
      </c>
    </row>
    <row r="41" spans="1:25" s="58" customFormat="1">
      <c r="B41" s="58" t="s">
        <v>121</v>
      </c>
      <c r="C41" s="58" t="s">
        <v>59</v>
      </c>
      <c r="D41" s="58" t="s">
        <v>60</v>
      </c>
      <c r="E41" s="58">
        <f t="shared" si="53"/>
        <v>0</v>
      </c>
      <c r="F41" s="58">
        <f t="shared" si="54"/>
        <v>1</v>
      </c>
      <c r="G41" s="58" t="s">
        <v>118</v>
      </c>
      <c r="H41" s="59">
        <v>14</v>
      </c>
      <c r="I41" s="58" t="s">
        <v>62</v>
      </c>
      <c r="J41" s="58" t="s">
        <v>119</v>
      </c>
      <c r="K41" s="60"/>
      <c r="L41" s="61"/>
      <c r="N41" s="52">
        <v>1363</v>
      </c>
      <c r="O41" s="62">
        <v>300</v>
      </c>
      <c r="P41" s="58">
        <f t="shared" si="55"/>
        <v>1363</v>
      </c>
      <c r="Q41" s="75">
        <v>40605</v>
      </c>
      <c r="R41" s="65" t="s">
        <v>52</v>
      </c>
      <c r="S41" s="72" t="s">
        <v>116</v>
      </c>
      <c r="T41" s="62">
        <f t="shared" si="56"/>
        <v>1663</v>
      </c>
      <c r="U41" s="62">
        <f t="shared" si="57"/>
        <v>70</v>
      </c>
      <c r="V41" s="58">
        <f t="shared" si="58"/>
        <v>1293</v>
      </c>
      <c r="W41" s="62"/>
      <c r="X41" s="62">
        <f t="shared" si="59"/>
        <v>30</v>
      </c>
      <c r="Y41" s="62">
        <f t="shared" si="60"/>
        <v>1263</v>
      </c>
    </row>
    <row r="42" spans="1:25" s="58" customFormat="1">
      <c r="B42" s="16" t="s">
        <v>140</v>
      </c>
      <c r="C42" s="4" t="s">
        <v>141</v>
      </c>
      <c r="D42" s="58" t="s">
        <v>60</v>
      </c>
      <c r="E42" s="58">
        <f t="shared" ref="E42" si="67">IF(D42=$B$11,H42,0)</f>
        <v>0</v>
      </c>
      <c r="F42" s="58">
        <f t="shared" ref="F42" si="68">IF(E42&gt;0,0,1)</f>
        <v>1</v>
      </c>
      <c r="G42" s="58" t="s">
        <v>138</v>
      </c>
      <c r="H42" s="59">
        <v>7</v>
      </c>
      <c r="I42" s="58" t="s">
        <v>139</v>
      </c>
      <c r="J42" s="4" t="s">
        <v>120</v>
      </c>
      <c r="K42" s="60"/>
      <c r="L42" s="61"/>
      <c r="N42" s="52">
        <v>759</v>
      </c>
      <c r="O42" s="6">
        <f t="shared" ref="O42:O48" si="69">ROUND((N42*0.4),0)</f>
        <v>304</v>
      </c>
      <c r="P42" s="58">
        <f t="shared" ref="P42" si="70">IF(N42&gt;0,((N42+300)-O42),0)</f>
        <v>755</v>
      </c>
      <c r="Q42" s="57">
        <v>40647</v>
      </c>
      <c r="R42" s="65" t="s">
        <v>52</v>
      </c>
      <c r="S42" s="60" t="s">
        <v>116</v>
      </c>
      <c r="T42" s="62">
        <f t="shared" ref="T42" si="71">P42+O42</f>
        <v>1059</v>
      </c>
      <c r="U42" s="62">
        <f t="shared" ref="U42" si="72">IF(H42&gt;0,70,0)</f>
        <v>70</v>
      </c>
      <c r="V42" s="58">
        <f t="shared" ref="V42" si="73">N42-U42</f>
        <v>689</v>
      </c>
      <c r="W42" s="62"/>
      <c r="X42" s="62">
        <f t="shared" ref="X42" si="74">IF(H42&gt;0,30*F42,0)</f>
        <v>30</v>
      </c>
      <c r="Y42" s="62">
        <f t="shared" ref="Y42" si="75">V42-X42</f>
        <v>659</v>
      </c>
    </row>
    <row r="43" spans="1:25" s="4" customFormat="1">
      <c r="B43" s="73" t="s">
        <v>134</v>
      </c>
      <c r="C43" s="4" t="s">
        <v>128</v>
      </c>
      <c r="D43" s="16" t="s">
        <v>54</v>
      </c>
      <c r="E43" s="4">
        <f t="shared" si="53"/>
        <v>0</v>
      </c>
      <c r="F43" s="4">
        <f t="shared" ref="F43" si="76">IF(E43&gt;0,0,1)</f>
        <v>1</v>
      </c>
      <c r="G43" s="16" t="s">
        <v>127</v>
      </c>
      <c r="H43" s="16">
        <v>14</v>
      </c>
      <c r="I43" s="16" t="s">
        <v>62</v>
      </c>
      <c r="J43" s="58" t="s">
        <v>119</v>
      </c>
      <c r="K43" s="7"/>
      <c r="L43" s="5"/>
      <c r="N43" s="52">
        <v>1610</v>
      </c>
      <c r="O43" s="6">
        <f t="shared" si="69"/>
        <v>644</v>
      </c>
      <c r="P43" s="4">
        <f t="shared" ref="P43" si="77">IF(N43&gt;0,((N43+300)-O43),0)</f>
        <v>1266</v>
      </c>
      <c r="Q43" s="8">
        <v>40649</v>
      </c>
      <c r="R43" s="65" t="s">
        <v>52</v>
      </c>
      <c r="S43" s="60" t="s">
        <v>116</v>
      </c>
      <c r="T43" s="6">
        <f t="shared" ref="T43" si="78">P43+O43</f>
        <v>1910</v>
      </c>
      <c r="U43" s="6">
        <f t="shared" ref="U43" si="79">IF(H43&gt;0,70,0)</f>
        <v>70</v>
      </c>
      <c r="V43" s="4">
        <f t="shared" ref="V43" si="80">N43-U43</f>
        <v>1540</v>
      </c>
      <c r="W43" s="6"/>
      <c r="X43" s="6">
        <f t="shared" ref="X43" si="81">IF(H43&gt;0,30*F43,0)</f>
        <v>30</v>
      </c>
      <c r="Y43" s="6">
        <f t="shared" ref="Y43" si="82">V43-X43</f>
        <v>1510</v>
      </c>
    </row>
    <row r="44" spans="1:25" s="4" customFormat="1">
      <c r="B44" s="58" t="s">
        <v>123</v>
      </c>
      <c r="C44" s="58" t="s">
        <v>124</v>
      </c>
      <c r="D44" s="58" t="s">
        <v>60</v>
      </c>
      <c r="E44" s="58">
        <f t="shared" si="53"/>
        <v>0</v>
      </c>
      <c r="F44" s="58">
        <f t="shared" si="54"/>
        <v>1</v>
      </c>
      <c r="G44" s="58" t="s">
        <v>125</v>
      </c>
      <c r="H44" s="59">
        <v>11</v>
      </c>
      <c r="I44" s="58" t="s">
        <v>126</v>
      </c>
      <c r="J44" s="58" t="s">
        <v>120</v>
      </c>
      <c r="K44" s="60"/>
      <c r="L44" s="61"/>
      <c r="M44" s="58"/>
      <c r="N44" s="52">
        <v>1642</v>
      </c>
      <c r="O44" s="6">
        <f t="shared" si="69"/>
        <v>657</v>
      </c>
      <c r="P44" s="4">
        <f t="shared" si="55"/>
        <v>1285</v>
      </c>
      <c r="Q44" s="8">
        <v>41037</v>
      </c>
      <c r="R44" s="3" t="s">
        <v>52</v>
      </c>
      <c r="S44" s="66" t="s">
        <v>116</v>
      </c>
      <c r="T44" s="6">
        <f t="shared" si="56"/>
        <v>1942</v>
      </c>
      <c r="U44" s="6">
        <f t="shared" si="57"/>
        <v>70</v>
      </c>
      <c r="V44" s="4">
        <f t="shared" si="58"/>
        <v>1572</v>
      </c>
      <c r="W44" s="6"/>
      <c r="X44" s="6">
        <f t="shared" si="59"/>
        <v>30</v>
      </c>
      <c r="Y44" s="6">
        <f t="shared" si="60"/>
        <v>1542</v>
      </c>
    </row>
    <row r="45" spans="1:25" s="4" customFormat="1">
      <c r="B45" s="69" t="s">
        <v>112</v>
      </c>
      <c r="C45" s="4" t="s">
        <v>114</v>
      </c>
      <c r="D45" s="4" t="s">
        <v>60</v>
      </c>
      <c r="E45" s="4">
        <f t="shared" si="53"/>
        <v>0</v>
      </c>
      <c r="F45" s="4">
        <f t="shared" ref="F45:F47" si="83">IF(E45&gt;0,0,1)</f>
        <v>1</v>
      </c>
      <c r="G45" s="4" t="s">
        <v>113</v>
      </c>
      <c r="H45" s="16">
        <v>9</v>
      </c>
      <c r="I45" s="4" t="s">
        <v>57</v>
      </c>
      <c r="J45" s="4" t="s">
        <v>120</v>
      </c>
      <c r="K45" s="7"/>
      <c r="L45" s="5"/>
      <c r="N45" s="52">
        <v>1364</v>
      </c>
      <c r="O45" s="6">
        <f t="shared" si="69"/>
        <v>546</v>
      </c>
      <c r="P45" s="4">
        <f t="shared" ref="P45:P47" si="84">IF(N45&gt;0,((N45+300)-O45),0)</f>
        <v>1118</v>
      </c>
      <c r="Q45" s="8">
        <v>41051</v>
      </c>
      <c r="R45" s="3" t="s">
        <v>52</v>
      </c>
      <c r="S45" s="60" t="s">
        <v>116</v>
      </c>
      <c r="T45" s="6">
        <f t="shared" ref="T45:T47" si="85">P45+O45</f>
        <v>1664</v>
      </c>
      <c r="U45" s="6">
        <f t="shared" ref="U45:U47" si="86">IF(H45&gt;0,70,0)</f>
        <v>70</v>
      </c>
      <c r="V45" s="4">
        <f t="shared" ref="V45:V47" si="87">N45-U45</f>
        <v>1294</v>
      </c>
      <c r="W45" s="6"/>
      <c r="X45" s="6">
        <f t="shared" ref="X45:X47" si="88">IF(H45&gt;0,30*F45,0)</f>
        <v>30</v>
      </c>
      <c r="Y45" s="6">
        <f t="shared" ref="Y45:Y47" si="89">V45-X45</f>
        <v>1264</v>
      </c>
    </row>
    <row r="46" spans="1:25" s="4" customFormat="1">
      <c r="B46" s="78" t="s">
        <v>149</v>
      </c>
      <c r="C46" s="79" t="s">
        <v>150</v>
      </c>
      <c r="D46" s="16" t="s">
        <v>60</v>
      </c>
      <c r="E46" s="4">
        <f t="shared" ref="E46:E47" si="90">IF(D46=$B$11,H46,0)</f>
        <v>0</v>
      </c>
      <c r="F46" s="4">
        <f t="shared" si="83"/>
        <v>1</v>
      </c>
      <c r="G46" s="16" t="s">
        <v>143</v>
      </c>
      <c r="H46" s="16">
        <v>14</v>
      </c>
      <c r="I46" s="16" t="s">
        <v>144</v>
      </c>
      <c r="J46" s="4" t="s">
        <v>120</v>
      </c>
      <c r="K46" s="7"/>
      <c r="L46" s="5"/>
      <c r="N46" s="52">
        <v>2187</v>
      </c>
      <c r="O46" s="6">
        <f t="shared" si="69"/>
        <v>875</v>
      </c>
      <c r="P46" s="4">
        <f t="shared" si="84"/>
        <v>1612</v>
      </c>
      <c r="Q46" s="8">
        <v>41063</v>
      </c>
      <c r="R46" s="3" t="s">
        <v>52</v>
      </c>
      <c r="S46" s="76"/>
      <c r="T46" s="6">
        <f t="shared" si="85"/>
        <v>2487</v>
      </c>
      <c r="U46" s="6">
        <f t="shared" si="86"/>
        <v>70</v>
      </c>
      <c r="V46" s="4">
        <f t="shared" si="87"/>
        <v>2117</v>
      </c>
      <c r="W46" s="6"/>
      <c r="X46" s="6">
        <f t="shared" si="88"/>
        <v>30</v>
      </c>
      <c r="Y46" s="6">
        <f t="shared" si="89"/>
        <v>2087</v>
      </c>
    </row>
    <row r="47" spans="1:25" s="4" customFormat="1">
      <c r="B47" s="80" t="s">
        <v>145</v>
      </c>
      <c r="C47" s="80" t="s">
        <v>146</v>
      </c>
      <c r="D47" s="16" t="s">
        <v>54</v>
      </c>
      <c r="E47" s="4">
        <f t="shared" si="90"/>
        <v>0</v>
      </c>
      <c r="F47" s="4">
        <f t="shared" si="83"/>
        <v>1</v>
      </c>
      <c r="G47" s="16" t="s">
        <v>147</v>
      </c>
      <c r="H47" s="16">
        <v>14</v>
      </c>
      <c r="I47" s="16" t="s">
        <v>148</v>
      </c>
      <c r="J47" s="4" t="s">
        <v>120</v>
      </c>
      <c r="K47" s="7"/>
      <c r="L47" s="5"/>
      <c r="N47" s="52">
        <v>1403</v>
      </c>
      <c r="O47" s="6">
        <f t="shared" si="69"/>
        <v>561</v>
      </c>
      <c r="P47" s="4">
        <f t="shared" si="84"/>
        <v>1142</v>
      </c>
      <c r="Q47" s="8">
        <v>41098</v>
      </c>
      <c r="R47" s="3" t="s">
        <v>52</v>
      </c>
      <c r="S47" s="77"/>
      <c r="T47" s="6">
        <f t="shared" si="85"/>
        <v>1703</v>
      </c>
      <c r="U47" s="6">
        <f t="shared" si="86"/>
        <v>70</v>
      </c>
      <c r="V47" s="4">
        <f t="shared" si="87"/>
        <v>1333</v>
      </c>
      <c r="W47" s="6"/>
      <c r="X47" s="6">
        <f t="shared" si="88"/>
        <v>30</v>
      </c>
      <c r="Y47" s="6">
        <f t="shared" si="89"/>
        <v>1303</v>
      </c>
    </row>
    <row r="48" spans="1:25" s="4" customFormat="1">
      <c r="B48" s="16"/>
      <c r="C48" s="9"/>
      <c r="D48" s="16"/>
      <c r="E48" s="4">
        <f t="shared" si="53"/>
        <v>0</v>
      </c>
      <c r="F48" s="4">
        <f t="shared" si="54"/>
        <v>1</v>
      </c>
      <c r="G48" s="16"/>
      <c r="H48" s="16">
        <v>0</v>
      </c>
      <c r="I48" s="16"/>
      <c r="K48" s="7"/>
      <c r="L48" s="5"/>
      <c r="N48" s="52">
        <v>0</v>
      </c>
      <c r="O48" s="6">
        <f t="shared" si="69"/>
        <v>0</v>
      </c>
      <c r="P48" s="4">
        <f t="shared" si="55"/>
        <v>0</v>
      </c>
      <c r="Q48" s="8"/>
      <c r="R48" s="3"/>
      <c r="S48" s="7"/>
      <c r="T48" s="6">
        <f t="shared" si="56"/>
        <v>0</v>
      </c>
      <c r="U48" s="6">
        <f t="shared" si="57"/>
        <v>0</v>
      </c>
      <c r="V48" s="4">
        <f t="shared" si="58"/>
        <v>0</v>
      </c>
      <c r="W48" s="6"/>
      <c r="X48" s="6">
        <f t="shared" si="59"/>
        <v>0</v>
      </c>
      <c r="Y48" s="6">
        <f t="shared" si="60"/>
        <v>0</v>
      </c>
    </row>
    <row r="49" spans="1:25" s="4" customFormat="1">
      <c r="A49" s="44"/>
      <c r="B49" s="45"/>
      <c r="C49" s="46"/>
      <c r="D49" s="45"/>
      <c r="E49" s="45"/>
      <c r="F49" s="45"/>
      <c r="G49" s="45"/>
      <c r="H49" s="45"/>
      <c r="I49" s="45"/>
      <c r="J49" s="44"/>
      <c r="K49" s="47"/>
      <c r="L49" s="48"/>
      <c r="M49" s="44"/>
      <c r="N49" s="49">
        <f>SUM(N39:N48)</f>
        <v>10759</v>
      </c>
      <c r="O49" s="50"/>
      <c r="P49" s="44"/>
      <c r="Q49" s="51"/>
      <c r="R49" s="49"/>
      <c r="S49" s="47"/>
      <c r="T49" s="50"/>
      <c r="U49" s="50"/>
      <c r="V49" s="44"/>
      <c r="W49" s="50"/>
      <c r="X49" s="50"/>
      <c r="Y49" s="49">
        <f>SUM(Y39:Y48)</f>
        <v>9989</v>
      </c>
    </row>
    <row r="50" spans="1:25" s="4" customFormat="1">
      <c r="A50" s="19"/>
      <c r="B50" s="20"/>
      <c r="C50" s="21"/>
      <c r="D50" s="20"/>
      <c r="E50" s="20"/>
      <c r="F50" s="20"/>
      <c r="G50" s="20"/>
      <c r="H50" s="20"/>
      <c r="I50" s="20"/>
      <c r="J50" s="19"/>
      <c r="K50" s="22"/>
      <c r="L50" s="23"/>
      <c r="M50" s="19"/>
      <c r="N50" s="24"/>
      <c r="O50" s="24"/>
      <c r="P50" s="19"/>
      <c r="Q50" s="25"/>
      <c r="R50" s="26"/>
      <c r="S50" s="22"/>
      <c r="T50" s="24"/>
      <c r="U50" s="24"/>
      <c r="V50" s="19"/>
      <c r="W50" s="24"/>
      <c r="X50" s="24"/>
      <c r="Y50" s="24"/>
    </row>
    <row r="51" spans="1:25" s="4" customFormat="1">
      <c r="A51" s="36"/>
      <c r="B51" s="37"/>
      <c r="C51" s="38"/>
      <c r="D51" s="37"/>
      <c r="E51" s="37"/>
      <c r="F51" s="37"/>
      <c r="G51" s="37"/>
      <c r="H51" s="37"/>
      <c r="I51" s="37"/>
      <c r="J51" s="36"/>
      <c r="K51" s="39"/>
      <c r="L51" s="40"/>
      <c r="M51" s="36"/>
      <c r="N51" s="41"/>
      <c r="O51" s="41"/>
      <c r="P51" s="36"/>
      <c r="Q51" s="42"/>
      <c r="R51" s="43"/>
      <c r="S51" s="39"/>
      <c r="T51" s="41"/>
      <c r="U51" s="41"/>
      <c r="V51" s="36"/>
      <c r="W51" s="41"/>
      <c r="X51" s="41"/>
      <c r="Y51" s="41"/>
    </row>
    <row r="52" spans="1:25" s="4" customFormat="1">
      <c r="A52" s="19"/>
      <c r="B52" s="20"/>
      <c r="C52" s="21"/>
      <c r="D52" s="20"/>
      <c r="E52" s="20"/>
      <c r="F52" s="20"/>
      <c r="G52" s="20"/>
      <c r="H52" s="20"/>
      <c r="I52" s="20"/>
      <c r="J52" s="19"/>
      <c r="K52" s="22"/>
      <c r="L52" s="23"/>
      <c r="M52" s="19"/>
      <c r="N52" s="24"/>
      <c r="O52" s="24"/>
      <c r="P52" s="19"/>
      <c r="Q52" s="25"/>
      <c r="R52" s="26"/>
      <c r="S52" s="22"/>
      <c r="T52" s="24"/>
      <c r="U52" s="24"/>
      <c r="V52" s="19"/>
      <c r="W52" s="24"/>
      <c r="X52" s="24"/>
      <c r="Y52" s="24"/>
    </row>
    <row r="53" spans="1:25" s="4" customFormat="1" ht="15.75">
      <c r="C53" s="12"/>
      <c r="G53" s="17" t="s">
        <v>31</v>
      </c>
      <c r="H53" s="4">
        <f>SUM(H15:H50)</f>
        <v>279</v>
      </c>
      <c r="K53" s="7"/>
      <c r="U53" s="4">
        <f>SUM(U15:U48)</f>
        <v>1680</v>
      </c>
      <c r="V53" s="4">
        <f>SUM(V15:V48)</f>
        <v>25716</v>
      </c>
      <c r="W53" s="4">
        <f>SUM(W15:W48)</f>
        <v>0</v>
      </c>
      <c r="X53" s="4">
        <f>SUM(X15:X48)</f>
        <v>630</v>
      </c>
      <c r="Y53" s="4">
        <f>Y37+Y49</f>
        <v>25086</v>
      </c>
    </row>
    <row r="54" spans="1:25" s="4" customFormat="1">
      <c r="K54" s="7"/>
    </row>
    <row r="55" spans="1:25" s="4" customFormat="1">
      <c r="G55" s="6" t="s">
        <v>30</v>
      </c>
      <c r="H55" s="4">
        <f>H53/7</f>
        <v>39.857142857142854</v>
      </c>
      <c r="K55" s="7"/>
      <c r="Y55" s="4">
        <f>Y53/320000</f>
        <v>7.8393749999999998E-2</v>
      </c>
    </row>
    <row r="56" spans="1:25" s="4" customFormat="1">
      <c r="K56" s="7"/>
    </row>
    <row r="57" spans="1:25" s="4" customFormat="1">
      <c r="G57" s="6" t="s">
        <v>33</v>
      </c>
      <c r="H57" s="4">
        <f>SUM(E15:E50)</f>
        <v>11</v>
      </c>
      <c r="K57" s="7"/>
    </row>
    <row r="58" spans="1:25">
      <c r="G58" s="6" t="s">
        <v>34</v>
      </c>
      <c r="H58" s="4">
        <f>H57/7</f>
        <v>1.5714285714285714</v>
      </c>
    </row>
    <row r="60" spans="1:25">
      <c r="G60" s="6" t="s">
        <v>35</v>
      </c>
      <c r="H60" s="4">
        <f>H53-H57</f>
        <v>268</v>
      </c>
      <c r="M60" s="4"/>
    </row>
    <row r="61" spans="1:25">
      <c r="G61" s="6" t="s">
        <v>36</v>
      </c>
      <c r="H61" s="4">
        <f>H55-H58</f>
        <v>38.285714285714285</v>
      </c>
      <c r="P61" s="4"/>
    </row>
    <row r="62" spans="1:25">
      <c r="B62" s="4"/>
      <c r="G62" s="6" t="s">
        <v>37</v>
      </c>
      <c r="H62" s="4">
        <f>Y53/H61</f>
        <v>655.23134328358208</v>
      </c>
    </row>
    <row r="63" spans="1:25" ht="15.75">
      <c r="B63" s="4"/>
      <c r="C63" s="12"/>
    </row>
    <row r="64" spans="1:25" ht="16.5">
      <c r="B64" s="10"/>
      <c r="C64" s="12"/>
      <c r="S64" s="4"/>
    </row>
    <row r="65" spans="1:19" ht="17.25">
      <c r="B65" s="14"/>
      <c r="C65" s="11"/>
      <c r="G65" s="12"/>
      <c r="H65" s="12"/>
      <c r="P65" s="4"/>
    </row>
    <row r="66" spans="1:19" ht="17.25">
      <c r="B66" s="13"/>
      <c r="C66" s="13"/>
      <c r="G66" s="12"/>
      <c r="H66" s="12"/>
      <c r="S66" s="4"/>
    </row>
    <row r="67" spans="1:19" ht="17.25">
      <c r="B67" s="15"/>
      <c r="C67" s="13"/>
    </row>
    <row r="68" spans="1:19" ht="17.25">
      <c r="A68"/>
      <c r="B68" s="13"/>
      <c r="C68" s="13"/>
      <c r="D68"/>
      <c r="E68"/>
      <c r="F68"/>
      <c r="G68"/>
      <c r="H68"/>
      <c r="I68"/>
      <c r="J68"/>
      <c r="K68"/>
    </row>
    <row r="69" spans="1:19">
      <c r="A69"/>
      <c r="B69" s="15"/>
      <c r="C69" s="15"/>
      <c r="D69"/>
      <c r="E69"/>
      <c r="F69"/>
      <c r="G69"/>
      <c r="H69"/>
      <c r="I69"/>
      <c r="J69"/>
      <c r="K69"/>
    </row>
    <row r="70" spans="1:19">
      <c r="A70"/>
      <c r="B70" s="15"/>
      <c r="C70" s="15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2010-06-05T09:28:51Z</dcterms:created>
  <dcterms:modified xsi:type="dcterms:W3CDTF">2012-01-21T17:24:53Z</dcterms:modified>
</cp:coreProperties>
</file>