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608" yWindow="5088" windowWidth="18192" windowHeight="2760"/>
  </bookViews>
  <sheets>
    <sheet name="Sheet1" sheetId="1" r:id="rId1"/>
    <sheet name="Sheet2" sheetId="2" r:id="rId2"/>
    <sheet name="Sheet3" sheetId="3" r:id="rId3"/>
    <sheet name="Sheet4" sheetId="4" r:id="rId4"/>
  </sheets>
  <calcPr calcId="145621"/>
  <fileRecoveryPr repairLoad="1"/>
</workbook>
</file>

<file path=xl/calcChain.xml><?xml version="1.0" encoding="utf-8"?>
<calcChain xmlns="http://schemas.openxmlformats.org/spreadsheetml/2006/main">
  <c r="O213" i="1" l="1"/>
  <c r="O232" i="1"/>
  <c r="O229" i="1"/>
  <c r="O211" i="1"/>
  <c r="P199" i="1" l="1"/>
  <c r="O199" i="1"/>
  <c r="P205" i="1" l="1"/>
  <c r="U205" i="1" s="1"/>
  <c r="O205" i="1"/>
  <c r="Y205" i="1"/>
  <c r="V205" i="1"/>
  <c r="W205" i="1" s="1"/>
  <c r="Z205" i="1" l="1"/>
  <c r="Y193" i="1"/>
  <c r="V193" i="1"/>
  <c r="W193" i="1" s="1"/>
  <c r="Z193" i="1" s="1"/>
  <c r="P195" i="1" l="1"/>
  <c r="O195" i="1"/>
  <c r="V195" i="1"/>
  <c r="Y195" i="1"/>
  <c r="P196" i="1" l="1"/>
  <c r="U196" i="1" s="1"/>
  <c r="Y196" i="1"/>
  <c r="V196" i="1"/>
  <c r="W196" i="1" s="1"/>
  <c r="Z196" i="1" s="1"/>
  <c r="O206" i="1" l="1"/>
  <c r="P206" i="1"/>
  <c r="Y206" i="1"/>
  <c r="V206" i="1"/>
  <c r="W206" i="1" s="1"/>
  <c r="Z206" i="1" s="1"/>
  <c r="U206" i="1"/>
  <c r="O210" i="1" l="1"/>
  <c r="W210" i="1"/>
  <c r="U210" i="1"/>
  <c r="P210" i="1"/>
  <c r="Y209" i="1"/>
  <c r="V209" i="1"/>
  <c r="W209" i="1" s="1"/>
  <c r="Z209" i="1" s="1"/>
  <c r="U209" i="1"/>
  <c r="Y208" i="1"/>
  <c r="V208" i="1"/>
  <c r="W208" i="1" s="1"/>
  <c r="U208" i="1"/>
  <c r="Y210" i="1"/>
  <c r="V210" i="1"/>
  <c r="Y211" i="1"/>
  <c r="V211" i="1"/>
  <c r="W211" i="1" s="1"/>
  <c r="Z211" i="1" s="1"/>
  <c r="U211" i="1"/>
  <c r="Q204" i="1"/>
  <c r="O204" i="1"/>
  <c r="P204" i="1"/>
  <c r="Z208" i="1" l="1"/>
  <c r="Z210" i="1"/>
  <c r="Q198" i="1"/>
  <c r="U198" i="1" l="1"/>
  <c r="Y198" i="1"/>
  <c r="V198" i="1"/>
  <c r="W198" i="1" s="1"/>
  <c r="Z198" i="1" l="1"/>
  <c r="Y201" i="1"/>
  <c r="V201" i="1"/>
  <c r="W201" i="1" s="1"/>
  <c r="Z201" i="1" s="1"/>
  <c r="U201" i="1"/>
  <c r="U191" i="1" l="1"/>
  <c r="O191" i="1"/>
  <c r="E191" i="1"/>
  <c r="F191" i="1"/>
  <c r="Y191" i="1"/>
  <c r="V191" i="1"/>
  <c r="W191" i="1" l="1"/>
  <c r="Z191" i="1"/>
  <c r="Y199" i="1"/>
  <c r="V199" i="1"/>
  <c r="W199" i="1" s="1"/>
  <c r="Z199" i="1" s="1"/>
  <c r="U199" i="1"/>
  <c r="Q197" i="1" l="1"/>
  <c r="Y197" i="1" l="1"/>
  <c r="V197" i="1"/>
  <c r="W197" i="1" s="1"/>
  <c r="Z197" i="1" s="1"/>
  <c r="U197" i="1"/>
  <c r="Q192" i="1" l="1"/>
  <c r="O194" i="1" l="1"/>
  <c r="Y194" i="1"/>
  <c r="V194" i="1"/>
  <c r="W194" i="1" s="1"/>
  <c r="Z194" i="1" s="1"/>
  <c r="U194" i="1"/>
  <c r="Y192" i="1" l="1"/>
  <c r="V192" i="1"/>
  <c r="W192" i="1" s="1"/>
  <c r="U192" i="1"/>
  <c r="E200" i="1"/>
  <c r="F200" i="1" s="1"/>
  <c r="Y200" i="1" s="1"/>
  <c r="U200" i="1"/>
  <c r="V200" i="1"/>
  <c r="W200" i="1" s="1"/>
  <c r="Z200" i="1" l="1"/>
  <c r="Z192" i="1"/>
  <c r="Q184" i="1"/>
  <c r="M186" i="1"/>
  <c r="M185" i="1"/>
  <c r="M184" i="1"/>
  <c r="O184" i="1"/>
  <c r="Q202" i="1" l="1"/>
  <c r="U202" i="1" s="1"/>
  <c r="Y202" i="1"/>
  <c r="V202" i="1"/>
  <c r="W202" i="1" s="1"/>
  <c r="Z202" i="1" s="1"/>
  <c r="E203" i="1"/>
  <c r="F203" i="1"/>
  <c r="Y203" i="1" s="1"/>
  <c r="Z203" i="1" s="1"/>
  <c r="U203" i="1"/>
  <c r="V203" i="1"/>
  <c r="W203" i="1"/>
  <c r="V182" i="1" l="1"/>
  <c r="W182" i="1" s="1"/>
  <c r="Q182" i="1"/>
  <c r="U182" i="1" s="1"/>
  <c r="E182" i="1"/>
  <c r="F182" i="1" s="1"/>
  <c r="Y182" i="1" s="1"/>
  <c r="Z182" i="1" l="1"/>
  <c r="U204" i="1"/>
  <c r="V204" i="1"/>
  <c r="W204" i="1" s="1"/>
  <c r="Y204" i="1"/>
  <c r="Z204" i="1" l="1"/>
  <c r="J9" i="1"/>
  <c r="V188" i="1" l="1"/>
  <c r="W188" i="1" s="1"/>
  <c r="Q188" i="1"/>
  <c r="U188" i="1" s="1"/>
  <c r="E188" i="1"/>
  <c r="F188" i="1" s="1"/>
  <c r="Y188" i="1" s="1"/>
  <c r="E189" i="1"/>
  <c r="F189" i="1"/>
  <c r="Y189" i="1" s="1"/>
  <c r="P189" i="1"/>
  <c r="Q189" i="1" s="1"/>
  <c r="U189" i="1" s="1"/>
  <c r="V189" i="1"/>
  <c r="W189" i="1" s="1"/>
  <c r="Z188" i="1" l="1"/>
  <c r="Z189" i="1"/>
  <c r="V207" i="1"/>
  <c r="U207" i="1"/>
  <c r="E207" i="1"/>
  <c r="F207" i="1" s="1"/>
  <c r="Y207" i="1" s="1"/>
  <c r="W207" i="1" l="1"/>
  <c r="Z207" i="1" s="1"/>
  <c r="P187" i="1" l="1"/>
  <c r="O187" i="1"/>
  <c r="Q187" i="1" l="1"/>
  <c r="O190" i="1" l="1"/>
  <c r="P190" i="1" l="1"/>
  <c r="Q190" i="1" s="1"/>
  <c r="P183" i="1"/>
  <c r="Q183" i="1" s="1"/>
  <c r="O176" i="1" l="1"/>
  <c r="P176" i="1" s="1"/>
  <c r="O169" i="1" l="1"/>
  <c r="P169" i="1" s="1"/>
  <c r="U169" i="1" s="1"/>
  <c r="P168" i="1" l="1"/>
  <c r="V179" i="1" l="1"/>
  <c r="W179" i="1" s="1"/>
  <c r="Q179" i="1"/>
  <c r="U179" i="1" s="1"/>
  <c r="E179" i="1"/>
  <c r="F179" i="1" s="1"/>
  <c r="Y179" i="1" s="1"/>
  <c r="Y178" i="1"/>
  <c r="V178" i="1"/>
  <c r="W178" i="1" s="1"/>
  <c r="Z178" i="1" s="1"/>
  <c r="Q178" i="1"/>
  <c r="U178" i="1" s="1"/>
  <c r="P178" i="1"/>
  <c r="E178" i="1"/>
  <c r="F178" i="1" s="1"/>
  <c r="Z179" i="1" l="1"/>
  <c r="P166" i="1"/>
  <c r="O166" i="1"/>
  <c r="O164" i="1" l="1"/>
  <c r="O220" i="1" s="1"/>
  <c r="O224" i="1" s="1"/>
  <c r="Q224" i="1" l="1"/>
  <c r="O226" i="1"/>
  <c r="Q226" i="1" s="1"/>
  <c r="O159" i="1"/>
  <c r="V172" i="1" l="1"/>
  <c r="W172" i="1" s="1"/>
  <c r="Q172" i="1"/>
  <c r="U172" i="1" s="1"/>
  <c r="P172" i="1"/>
  <c r="E172" i="1"/>
  <c r="F172" i="1" s="1"/>
  <c r="Y172" i="1" s="1"/>
  <c r="Z172" i="1" l="1"/>
  <c r="P181" i="1"/>
  <c r="G9" i="1" l="1"/>
  <c r="P173" i="1" l="1"/>
  <c r="V173" i="1"/>
  <c r="W173" i="1" s="1"/>
  <c r="Q173" i="1"/>
  <c r="U173" i="1" s="1"/>
  <c r="E173" i="1"/>
  <c r="F173" i="1" s="1"/>
  <c r="Y173" i="1" s="1"/>
  <c r="Z173" i="1" l="1"/>
  <c r="U177" i="1"/>
  <c r="G11" i="1" l="1"/>
  <c r="J11" i="1"/>
  <c r="V155" i="1" l="1"/>
  <c r="E155" i="1"/>
  <c r="F155" i="1" s="1"/>
  <c r="Y155" i="1" s="1"/>
  <c r="U155" i="1" l="1"/>
  <c r="W155" i="1"/>
  <c r="Z155" i="1" s="1"/>
  <c r="E151" i="1"/>
  <c r="F151" i="1" s="1"/>
  <c r="V149" i="1" l="1"/>
  <c r="W149" i="1" s="1"/>
  <c r="P149" i="1"/>
  <c r="Q149" i="1" s="1"/>
  <c r="U149" i="1" s="1"/>
  <c r="E149" i="1"/>
  <c r="F149" i="1" s="1"/>
  <c r="Y149" i="1" s="1"/>
  <c r="Z149" i="1" l="1"/>
  <c r="E183" i="1"/>
  <c r="F183" i="1" s="1"/>
  <c r="V145" i="1" l="1"/>
  <c r="W145" i="1" s="1"/>
  <c r="P145" i="1"/>
  <c r="Q145" i="1" s="1"/>
  <c r="U145" i="1" s="1"/>
  <c r="E145" i="1"/>
  <c r="F145" i="1" s="1"/>
  <c r="Y145" i="1" s="1"/>
  <c r="Y137" i="1"/>
  <c r="V137" i="1"/>
  <c r="W137" i="1" s="1"/>
  <c r="P137" i="1"/>
  <c r="Q137" i="1" s="1"/>
  <c r="U137" i="1" s="1"/>
  <c r="E141" i="1"/>
  <c r="F141" i="1" s="1"/>
  <c r="V129" i="1"/>
  <c r="W129" i="1" s="1"/>
  <c r="P129" i="1"/>
  <c r="Q129" i="1" s="1"/>
  <c r="U129" i="1" s="1"/>
  <c r="E129" i="1"/>
  <c r="F129" i="1" s="1"/>
  <c r="Y129" i="1" s="1"/>
  <c r="P126" i="1"/>
  <c r="Q126" i="1" s="1"/>
  <c r="U126" i="1" s="1"/>
  <c r="V126" i="1"/>
  <c r="W126" i="1" s="1"/>
  <c r="Y126" i="1"/>
  <c r="Z145" i="1" l="1"/>
  <c r="Z137" i="1"/>
  <c r="Z129" i="1"/>
  <c r="Z126" i="1"/>
  <c r="Y212" i="1"/>
  <c r="V212" i="1"/>
  <c r="W212" i="1" s="1"/>
  <c r="Q212" i="1"/>
  <c r="P212" i="1"/>
  <c r="U212" i="1" s="1"/>
  <c r="E212" i="1"/>
  <c r="F212" i="1" s="1"/>
  <c r="V190" i="1"/>
  <c r="W190" i="1" s="1"/>
  <c r="E190" i="1"/>
  <c r="F190" i="1" s="1"/>
  <c r="Y190" i="1" s="1"/>
  <c r="Y187" i="1"/>
  <c r="V187" i="1"/>
  <c r="W187" i="1" s="1"/>
  <c r="E187" i="1"/>
  <c r="F187" i="1" s="1"/>
  <c r="Y186" i="1"/>
  <c r="V186" i="1"/>
  <c r="W186" i="1" s="1"/>
  <c r="Q186" i="1"/>
  <c r="P186" i="1"/>
  <c r="E186" i="1"/>
  <c r="F186" i="1" s="1"/>
  <c r="Y185" i="1"/>
  <c r="V185" i="1"/>
  <c r="W185" i="1" s="1"/>
  <c r="Q185" i="1"/>
  <c r="P185" i="1"/>
  <c r="E185" i="1"/>
  <c r="F185" i="1" s="1"/>
  <c r="V184" i="1"/>
  <c r="W184" i="1" s="1"/>
  <c r="E184" i="1"/>
  <c r="F184" i="1" s="1"/>
  <c r="Y184" i="1" s="1"/>
  <c r="Y183" i="1"/>
  <c r="V183" i="1"/>
  <c r="W183" i="1" s="1"/>
  <c r="V181" i="1"/>
  <c r="W181" i="1" s="1"/>
  <c r="Q181" i="1"/>
  <c r="E181" i="1"/>
  <c r="F181" i="1" s="1"/>
  <c r="Y181" i="1" s="1"/>
  <c r="Y180" i="1"/>
  <c r="V180" i="1"/>
  <c r="W180" i="1" s="1"/>
  <c r="Q180" i="1"/>
  <c r="P180" i="1"/>
  <c r="E180" i="1"/>
  <c r="F180" i="1" s="1"/>
  <c r="V177" i="1"/>
  <c r="W177" i="1" s="1"/>
  <c r="E177" i="1"/>
  <c r="F177" i="1" s="1"/>
  <c r="Y177" i="1" s="1"/>
  <c r="V176" i="1"/>
  <c r="W176" i="1" s="1"/>
  <c r="Q176" i="1"/>
  <c r="E176" i="1"/>
  <c r="F176" i="1" s="1"/>
  <c r="Y176" i="1" s="1"/>
  <c r="Y175" i="1"/>
  <c r="V175" i="1"/>
  <c r="W175" i="1" s="1"/>
  <c r="P175" i="1"/>
  <c r="Q175" i="1" s="1"/>
  <c r="V174" i="1"/>
  <c r="W174" i="1" s="1"/>
  <c r="E174" i="1"/>
  <c r="F174" i="1" s="1"/>
  <c r="Y174" i="1" s="1"/>
  <c r="V171" i="1"/>
  <c r="W171" i="1" s="1"/>
  <c r="Q171" i="1"/>
  <c r="E171" i="1"/>
  <c r="F171" i="1" s="1"/>
  <c r="Y171" i="1" s="1"/>
  <c r="Y170" i="1"/>
  <c r="V170" i="1"/>
  <c r="W170" i="1" s="1"/>
  <c r="Q170" i="1"/>
  <c r="P170" i="1"/>
  <c r="E170" i="1"/>
  <c r="F170" i="1" s="1"/>
  <c r="V169" i="1"/>
  <c r="W169" i="1" s="1"/>
  <c r="E169" i="1"/>
  <c r="F169" i="1" s="1"/>
  <c r="Y169" i="1" s="1"/>
  <c r="V168" i="1"/>
  <c r="W168" i="1" s="1"/>
  <c r="Q168" i="1"/>
  <c r="Y168" i="1"/>
  <c r="Y167" i="1"/>
  <c r="V167" i="1"/>
  <c r="W167" i="1" s="1"/>
  <c r="Q167" i="1"/>
  <c r="P167" i="1"/>
  <c r="E167" i="1"/>
  <c r="F167" i="1" s="1"/>
  <c r="V166" i="1"/>
  <c r="W166" i="1" s="1"/>
  <c r="Q166" i="1"/>
  <c r="U166" i="1" s="1"/>
  <c r="E166" i="1"/>
  <c r="F166" i="1" s="1"/>
  <c r="Y166" i="1" s="1"/>
  <c r="Y165" i="1"/>
  <c r="V165" i="1"/>
  <c r="W165" i="1" s="1"/>
  <c r="P165" i="1"/>
  <c r="U165" i="1" s="1"/>
  <c r="E165" i="1"/>
  <c r="F165" i="1" s="1"/>
  <c r="Y164" i="1"/>
  <c r="V164" i="1"/>
  <c r="W164" i="1" s="1"/>
  <c r="V163" i="1"/>
  <c r="W163" i="1" s="1"/>
  <c r="P163" i="1"/>
  <c r="Q163" i="1" s="1"/>
  <c r="U163" i="1" s="1"/>
  <c r="E163" i="1"/>
  <c r="F163" i="1" s="1"/>
  <c r="Y163" i="1" s="1"/>
  <c r="V127" i="1"/>
  <c r="W127" i="1" s="1"/>
  <c r="P127" i="1"/>
  <c r="Q127" i="1" s="1"/>
  <c r="U127" i="1" s="1"/>
  <c r="E127" i="1"/>
  <c r="F127" i="1" s="1"/>
  <c r="Y127" i="1" s="1"/>
  <c r="U168" i="1" l="1"/>
  <c r="Z181" i="1"/>
  <c r="Z185" i="1"/>
  <c r="U175" i="1"/>
  <c r="U167" i="1"/>
  <c r="U174" i="1"/>
  <c r="Z176" i="1"/>
  <c r="U176" i="1"/>
  <c r="U184" i="1"/>
  <c r="Z180" i="1"/>
  <c r="U190" i="1"/>
  <c r="U180" i="1"/>
  <c r="U186" i="1"/>
  <c r="Z168" i="1"/>
  <c r="U170" i="1"/>
  <c r="U171" i="1"/>
  <c r="U183" i="1"/>
  <c r="Z190" i="1"/>
  <c r="Z164" i="1"/>
  <c r="Z183" i="1"/>
  <c r="U187" i="1"/>
  <c r="Z212" i="1"/>
  <c r="Z175" i="1"/>
  <c r="Z177" i="1"/>
  <c r="Z184" i="1"/>
  <c r="Z186" i="1"/>
  <c r="Z169" i="1"/>
  <c r="U181" i="1"/>
  <c r="U164" i="1"/>
  <c r="U185" i="1"/>
  <c r="Z187" i="1"/>
  <c r="Z163" i="1"/>
  <c r="Z165" i="1"/>
  <c r="Z170" i="1"/>
  <c r="Z171" i="1"/>
  <c r="Z167" i="1"/>
  <c r="Z166" i="1"/>
  <c r="Z174" i="1"/>
  <c r="Z127" i="1"/>
  <c r="V128" i="1"/>
  <c r="W128" i="1" s="1"/>
  <c r="P128" i="1"/>
  <c r="Q128" i="1" s="1"/>
  <c r="U128" i="1" s="1"/>
  <c r="E128" i="1"/>
  <c r="F128" i="1" s="1"/>
  <c r="Y128" i="1" s="1"/>
  <c r="P160" i="1"/>
  <c r="Q159" i="1"/>
  <c r="Q158" i="1"/>
  <c r="P157" i="1"/>
  <c r="Q157" i="1" s="1"/>
  <c r="Q156" i="1"/>
  <c r="P154" i="1"/>
  <c r="P152" i="1"/>
  <c r="Q152" i="1" s="1"/>
  <c r="U152" i="1" s="1"/>
  <c r="Q151" i="1"/>
  <c r="P150" i="1"/>
  <c r="Q150" i="1" s="1"/>
  <c r="P148" i="1"/>
  <c r="Q148" i="1" s="1"/>
  <c r="P147" i="1"/>
  <c r="P146" i="1"/>
  <c r="Q146" i="1" s="1"/>
  <c r="P144" i="1"/>
  <c r="Q144" i="1" s="1"/>
  <c r="P143" i="1"/>
  <c r="P142" i="1"/>
  <c r="Q142" i="1" s="1"/>
  <c r="P141" i="1"/>
  <c r="Q141" i="1" s="1"/>
  <c r="P140" i="1"/>
  <c r="Q140" i="1" s="1"/>
  <c r="U140" i="1" s="1"/>
  <c r="P139" i="1"/>
  <c r="P138" i="1"/>
  <c r="Q138" i="1" s="1"/>
  <c r="P136" i="1"/>
  <c r="Q136" i="1" s="1"/>
  <c r="P135" i="1"/>
  <c r="U135" i="1" s="1"/>
  <c r="H217" i="1"/>
  <c r="O161" i="1"/>
  <c r="Y160" i="1"/>
  <c r="V160" i="1"/>
  <c r="W160" i="1" s="1"/>
  <c r="Q160" i="1"/>
  <c r="E160" i="1"/>
  <c r="F160" i="1" s="1"/>
  <c r="V159" i="1"/>
  <c r="W159" i="1" s="1"/>
  <c r="E159" i="1"/>
  <c r="F159" i="1" s="1"/>
  <c r="Y159" i="1" s="1"/>
  <c r="V158" i="1"/>
  <c r="W158" i="1" s="1"/>
  <c r="E158" i="1"/>
  <c r="F158" i="1" s="1"/>
  <c r="Y158" i="1" s="1"/>
  <c r="V157" i="1"/>
  <c r="W157" i="1" s="1"/>
  <c r="E157" i="1"/>
  <c r="F157" i="1" s="1"/>
  <c r="Y157" i="1" s="1"/>
  <c r="V156" i="1"/>
  <c r="W156" i="1" s="1"/>
  <c r="E156" i="1"/>
  <c r="F156" i="1" s="1"/>
  <c r="Y156" i="1" s="1"/>
  <c r="V154" i="1"/>
  <c r="W154" i="1" s="1"/>
  <c r="Q154" i="1"/>
  <c r="E154" i="1"/>
  <c r="F154" i="1" s="1"/>
  <c r="Y154" i="1" s="1"/>
  <c r="V153" i="1"/>
  <c r="W153" i="1" s="1"/>
  <c r="Q153" i="1"/>
  <c r="E153" i="1"/>
  <c r="F153" i="1" s="1"/>
  <c r="Y153" i="1" s="1"/>
  <c r="V152" i="1"/>
  <c r="W152" i="1" s="1"/>
  <c r="E152" i="1"/>
  <c r="F152" i="1" s="1"/>
  <c r="Y152" i="1" s="1"/>
  <c r="V151" i="1"/>
  <c r="W151" i="1" s="1"/>
  <c r="Y151" i="1"/>
  <c r="V150" i="1"/>
  <c r="W150" i="1" s="1"/>
  <c r="E150" i="1"/>
  <c r="F150" i="1" s="1"/>
  <c r="Y150" i="1" s="1"/>
  <c r="V148" i="1"/>
  <c r="W148" i="1" s="1"/>
  <c r="E148" i="1"/>
  <c r="F148" i="1" s="1"/>
  <c r="Y148" i="1" s="1"/>
  <c r="V147" i="1"/>
  <c r="W147" i="1" s="1"/>
  <c r="Q147" i="1"/>
  <c r="E147" i="1"/>
  <c r="F147" i="1" s="1"/>
  <c r="Y147" i="1" s="1"/>
  <c r="V146" i="1"/>
  <c r="W146" i="1" s="1"/>
  <c r="E146" i="1"/>
  <c r="F146" i="1" s="1"/>
  <c r="Y146" i="1" s="1"/>
  <c r="V144" i="1"/>
  <c r="W144" i="1" s="1"/>
  <c r="E144" i="1"/>
  <c r="F144" i="1" s="1"/>
  <c r="Y144" i="1" s="1"/>
  <c r="V143" i="1"/>
  <c r="W143" i="1" s="1"/>
  <c r="Q143" i="1"/>
  <c r="V142" i="1"/>
  <c r="W142" i="1" s="1"/>
  <c r="E142" i="1"/>
  <c r="F142" i="1" s="1"/>
  <c r="Y142" i="1" s="1"/>
  <c r="V141" i="1"/>
  <c r="W141" i="1" s="1"/>
  <c r="Y141" i="1"/>
  <c r="V140" i="1"/>
  <c r="W140" i="1" s="1"/>
  <c r="E140" i="1"/>
  <c r="F140" i="1" s="1"/>
  <c r="Y140" i="1" s="1"/>
  <c r="V139" i="1"/>
  <c r="W139" i="1" s="1"/>
  <c r="Q139" i="1"/>
  <c r="E139" i="1"/>
  <c r="F139" i="1" s="1"/>
  <c r="Y139" i="1" s="1"/>
  <c r="V138" i="1"/>
  <c r="W138" i="1" s="1"/>
  <c r="E138" i="1"/>
  <c r="F138" i="1" s="1"/>
  <c r="Y138" i="1" s="1"/>
  <c r="V136" i="1"/>
  <c r="W136" i="1" s="1"/>
  <c r="E136" i="1"/>
  <c r="F136" i="1" s="1"/>
  <c r="Y136" i="1" s="1"/>
  <c r="V135" i="1"/>
  <c r="W135" i="1" s="1"/>
  <c r="E135" i="1"/>
  <c r="F135" i="1" s="1"/>
  <c r="Y135" i="1" s="1"/>
  <c r="Y134" i="1"/>
  <c r="V134" i="1"/>
  <c r="W134" i="1" s="1"/>
  <c r="V133" i="1"/>
  <c r="W133" i="1" s="1"/>
  <c r="Q133" i="1"/>
  <c r="E133" i="1"/>
  <c r="F133" i="1" s="1"/>
  <c r="Y133" i="1" s="1"/>
  <c r="Z213" i="1" l="1"/>
  <c r="Z128" i="1"/>
  <c r="Z134" i="1"/>
  <c r="U153" i="1"/>
  <c r="Z158" i="1"/>
  <c r="U134" i="1"/>
  <c r="U139" i="1"/>
  <c r="Z147" i="1"/>
  <c r="U157" i="1"/>
  <c r="Z152" i="1"/>
  <c r="U133" i="1"/>
  <c r="Z133" i="1"/>
  <c r="Z160" i="1"/>
  <c r="Z142" i="1"/>
  <c r="U144" i="1"/>
  <c r="U136" i="1"/>
  <c r="U154" i="1"/>
  <c r="U148" i="1"/>
  <c r="U146" i="1"/>
  <c r="U156" i="1"/>
  <c r="U141" i="1"/>
  <c r="U150" i="1"/>
  <c r="U159" i="1"/>
  <c r="U138" i="1"/>
  <c r="U151" i="1"/>
  <c r="U143" i="1"/>
  <c r="U160" i="1"/>
  <c r="U158" i="1"/>
  <c r="U147" i="1"/>
  <c r="U142" i="1"/>
  <c r="Z138" i="1"/>
  <c r="Z154" i="1"/>
  <c r="Z140" i="1"/>
  <c r="Z150" i="1"/>
  <c r="Z135" i="1"/>
  <c r="Z144" i="1"/>
  <c r="Z156" i="1"/>
  <c r="Z139" i="1"/>
  <c r="Z141" i="1"/>
  <c r="Z153" i="1"/>
  <c r="Z136" i="1"/>
  <c r="Z146" i="1"/>
  <c r="Z151" i="1"/>
  <c r="Z157" i="1"/>
  <c r="Z148" i="1"/>
  <c r="Z159" i="1"/>
  <c r="Y143" i="1"/>
  <c r="Z143" i="1" s="1"/>
  <c r="Y111" i="1"/>
  <c r="V111" i="1"/>
  <c r="W111" i="1" s="1"/>
  <c r="Q111" i="1"/>
  <c r="P111" i="1"/>
  <c r="E111" i="1"/>
  <c r="F111" i="1" s="1"/>
  <c r="V106" i="1"/>
  <c r="W106" i="1" s="1"/>
  <c r="P106" i="1"/>
  <c r="Q106" i="1" s="1"/>
  <c r="U106" i="1" s="1"/>
  <c r="E106" i="1"/>
  <c r="F106" i="1" s="1"/>
  <c r="Y106" i="1" s="1"/>
  <c r="V110" i="1"/>
  <c r="W110" i="1" s="1"/>
  <c r="Q110" i="1"/>
  <c r="U110" i="1" s="1"/>
  <c r="E110" i="1"/>
  <c r="F110" i="1" s="1"/>
  <c r="Y110" i="1" s="1"/>
  <c r="V105" i="1"/>
  <c r="W105" i="1" s="1"/>
  <c r="U105" i="1"/>
  <c r="E105" i="1"/>
  <c r="F105" i="1" s="1"/>
  <c r="Y105" i="1" s="1"/>
  <c r="Y115" i="1"/>
  <c r="V115" i="1"/>
  <c r="W115" i="1" s="1"/>
  <c r="Q115" i="1"/>
  <c r="P115" i="1"/>
  <c r="E115" i="1"/>
  <c r="F115" i="1" s="1"/>
  <c r="V118" i="1"/>
  <c r="W118" i="1" s="1"/>
  <c r="P118" i="1"/>
  <c r="Q118" i="1" s="1"/>
  <c r="U118" i="1" s="1"/>
  <c r="E118" i="1"/>
  <c r="F118" i="1" s="1"/>
  <c r="Y118" i="1" s="1"/>
  <c r="Z111" i="1" l="1"/>
  <c r="Z161" i="1"/>
  <c r="U111" i="1"/>
  <c r="Z115" i="1"/>
  <c r="Z106" i="1"/>
  <c r="Z110" i="1"/>
  <c r="U115" i="1"/>
  <c r="Z105" i="1"/>
  <c r="Z118" i="1"/>
  <c r="V112" i="1" l="1"/>
  <c r="W112" i="1" s="1"/>
  <c r="P112" i="1"/>
  <c r="Q112" i="1" s="1"/>
  <c r="E112" i="1"/>
  <c r="F112" i="1" s="1"/>
  <c r="Y112" i="1" s="1"/>
  <c r="Z112" i="1" l="1"/>
  <c r="U112" i="1"/>
  <c r="V120" i="1"/>
  <c r="W120" i="1" s="1"/>
  <c r="P120" i="1"/>
  <c r="Q120" i="1" s="1"/>
  <c r="U120" i="1" s="1"/>
  <c r="E120" i="1"/>
  <c r="F120" i="1" s="1"/>
  <c r="Y120" i="1" s="1"/>
  <c r="Q109" i="1"/>
  <c r="U109" i="1" s="1"/>
  <c r="Z120" i="1" l="1"/>
  <c r="V116" i="1"/>
  <c r="W116" i="1" s="1"/>
  <c r="P116" i="1"/>
  <c r="Q116" i="1" s="1"/>
  <c r="U116" i="1" s="1"/>
  <c r="E116" i="1"/>
  <c r="F116" i="1" s="1"/>
  <c r="Y116" i="1" s="1"/>
  <c r="Z116" i="1" l="1"/>
  <c r="V117" i="1"/>
  <c r="W117" i="1" s="1"/>
  <c r="P117" i="1"/>
  <c r="Q117" i="1" s="1"/>
  <c r="U117" i="1" s="1"/>
  <c r="E117" i="1"/>
  <c r="F117" i="1" s="1"/>
  <c r="Y117" i="1" s="1"/>
  <c r="V109" i="1"/>
  <c r="W109" i="1" s="1"/>
  <c r="E109" i="1"/>
  <c r="F109" i="1" s="1"/>
  <c r="Y109" i="1" s="1"/>
  <c r="Z117" i="1" l="1"/>
  <c r="Z109" i="1"/>
  <c r="V124" i="1" l="1"/>
  <c r="W124" i="1" s="1"/>
  <c r="P124" i="1"/>
  <c r="Q124" i="1" s="1"/>
  <c r="U124" i="1" s="1"/>
  <c r="E124" i="1"/>
  <c r="F124" i="1" s="1"/>
  <c r="Y124" i="1" s="1"/>
  <c r="Z124" i="1" l="1"/>
  <c r="V123" i="1"/>
  <c r="W123" i="1" s="1"/>
  <c r="P123" i="1"/>
  <c r="U123" i="1" s="1"/>
  <c r="E123" i="1"/>
  <c r="F123" i="1" s="1"/>
  <c r="Y123" i="1" s="1"/>
  <c r="Z123" i="1" l="1"/>
  <c r="V107" i="1"/>
  <c r="W107" i="1" s="1"/>
  <c r="P107" i="1"/>
  <c r="Q107" i="1" s="1"/>
  <c r="U107" i="1" s="1"/>
  <c r="E107" i="1"/>
  <c r="F107" i="1" s="1"/>
  <c r="Y107" i="1" s="1"/>
  <c r="V121" i="1"/>
  <c r="W121" i="1" s="1"/>
  <c r="P121" i="1"/>
  <c r="Q121" i="1" s="1"/>
  <c r="U121" i="1" s="1"/>
  <c r="E121" i="1"/>
  <c r="F121" i="1" s="1"/>
  <c r="Y121" i="1" s="1"/>
  <c r="Z107" i="1" l="1"/>
  <c r="Z121" i="1"/>
  <c r="V108" i="1"/>
  <c r="W108" i="1" s="1"/>
  <c r="P108" i="1"/>
  <c r="Q108" i="1" s="1"/>
  <c r="U108" i="1" s="1"/>
  <c r="E108" i="1"/>
  <c r="F108" i="1" s="1"/>
  <c r="Y108" i="1" s="1"/>
  <c r="V122" i="1"/>
  <c r="W122" i="1" s="1"/>
  <c r="P122" i="1"/>
  <c r="Q122" i="1" s="1"/>
  <c r="U122" i="1" s="1"/>
  <c r="E122" i="1"/>
  <c r="F122" i="1" s="1"/>
  <c r="Y122" i="1" s="1"/>
  <c r="V113" i="1"/>
  <c r="W113" i="1" s="1"/>
  <c r="P113" i="1"/>
  <c r="Q113" i="1" s="1"/>
  <c r="E113" i="1"/>
  <c r="F113" i="1" s="1"/>
  <c r="Y113" i="1" s="1"/>
  <c r="Z108" i="1" l="1"/>
  <c r="Z122" i="1"/>
  <c r="U113" i="1"/>
  <c r="Z113" i="1"/>
  <c r="G8" i="1"/>
  <c r="V119" i="1"/>
  <c r="W119" i="1" s="1"/>
  <c r="P119" i="1"/>
  <c r="Q119" i="1" s="1"/>
  <c r="U119" i="1" s="1"/>
  <c r="E119" i="1"/>
  <c r="F119" i="1" s="1"/>
  <c r="Y119" i="1" s="1"/>
  <c r="Z119" i="1" l="1"/>
  <c r="V92" i="1" l="1"/>
  <c r="W92" i="1" s="1"/>
  <c r="P92" i="1"/>
  <c r="Q92" i="1" s="1"/>
  <c r="E92" i="1"/>
  <c r="F92" i="1" s="1"/>
  <c r="Y92" i="1" s="1"/>
  <c r="U92" i="1" l="1"/>
  <c r="Z92" i="1"/>
  <c r="V90" i="1"/>
  <c r="W90" i="1" s="1"/>
  <c r="P90" i="1"/>
  <c r="Q90" i="1" s="1"/>
  <c r="U90" i="1" s="1"/>
  <c r="E90" i="1"/>
  <c r="F90" i="1" s="1"/>
  <c r="Y90" i="1" s="1"/>
  <c r="V89" i="1"/>
  <c r="W89" i="1" s="1"/>
  <c r="P89" i="1"/>
  <c r="Q89" i="1" s="1"/>
  <c r="U89" i="1" s="1"/>
  <c r="E89" i="1"/>
  <c r="F89" i="1" s="1"/>
  <c r="Y89" i="1" s="1"/>
  <c r="V93" i="1"/>
  <c r="W93" i="1" s="1"/>
  <c r="P93" i="1"/>
  <c r="Q93" i="1" s="1"/>
  <c r="U93" i="1" s="1"/>
  <c r="E93" i="1"/>
  <c r="F93" i="1" s="1"/>
  <c r="Y93" i="1" s="1"/>
  <c r="Z90" i="1" l="1"/>
  <c r="Z89" i="1"/>
  <c r="Z93" i="1"/>
  <c r="V84" i="1"/>
  <c r="W84" i="1" s="1"/>
  <c r="P84" i="1"/>
  <c r="Q84" i="1" s="1"/>
  <c r="U84" i="1" s="1"/>
  <c r="E84" i="1"/>
  <c r="F84" i="1" s="1"/>
  <c r="Y84" i="1" s="1"/>
  <c r="V91" i="1"/>
  <c r="W91" i="1" s="1"/>
  <c r="P91" i="1"/>
  <c r="Q91" i="1" s="1"/>
  <c r="U91" i="1" s="1"/>
  <c r="E91" i="1"/>
  <c r="F91" i="1" s="1"/>
  <c r="Y91" i="1" s="1"/>
  <c r="V86" i="1"/>
  <c r="W86" i="1" s="1"/>
  <c r="P86" i="1"/>
  <c r="E86" i="1"/>
  <c r="F86" i="1" s="1"/>
  <c r="Y86" i="1" s="1"/>
  <c r="V85" i="1"/>
  <c r="W85" i="1" s="1"/>
  <c r="P85" i="1"/>
  <c r="Q85" i="1" s="1"/>
  <c r="U85" i="1" s="1"/>
  <c r="E85" i="1"/>
  <c r="F85" i="1" s="1"/>
  <c r="Y85" i="1" s="1"/>
  <c r="Z84" i="1" l="1"/>
  <c r="Z91" i="1"/>
  <c r="Q86" i="1"/>
  <c r="U86" i="1" s="1"/>
  <c r="Z86" i="1"/>
  <c r="Z85" i="1"/>
  <c r="V88" i="1"/>
  <c r="W88" i="1" s="1"/>
  <c r="P88" i="1"/>
  <c r="Q88" i="1" s="1"/>
  <c r="U88" i="1" s="1"/>
  <c r="E88" i="1"/>
  <c r="F88" i="1" s="1"/>
  <c r="Y88" i="1" s="1"/>
  <c r="Z88" i="1" l="1"/>
  <c r="V87" i="1"/>
  <c r="W87" i="1" s="1"/>
  <c r="P87" i="1"/>
  <c r="Q87" i="1" s="1"/>
  <c r="U87" i="1" s="1"/>
  <c r="E87" i="1"/>
  <c r="F87" i="1" s="1"/>
  <c r="Y87" i="1" s="1"/>
  <c r="V80" i="1"/>
  <c r="W80" i="1" s="1"/>
  <c r="P80" i="1"/>
  <c r="Q80" i="1" s="1"/>
  <c r="U80" i="1" s="1"/>
  <c r="E80" i="1"/>
  <c r="F80" i="1" s="1"/>
  <c r="Y80" i="1" s="1"/>
  <c r="Z80" i="1" l="1"/>
  <c r="Z87" i="1"/>
  <c r="V94" i="1" l="1"/>
  <c r="W94" i="1" s="1"/>
  <c r="P94" i="1"/>
  <c r="Q94" i="1" s="1"/>
  <c r="U94" i="1" s="1"/>
  <c r="E94" i="1"/>
  <c r="F94" i="1" s="1"/>
  <c r="Y94" i="1" s="1"/>
  <c r="Z94" i="1" l="1"/>
  <c r="V83" i="1"/>
  <c r="W83" i="1" s="1"/>
  <c r="P83" i="1"/>
  <c r="Q83" i="1" s="1"/>
  <c r="E83" i="1"/>
  <c r="F83" i="1" s="1"/>
  <c r="Y83" i="1" s="1"/>
  <c r="Z83" i="1" l="1"/>
  <c r="U83" i="1"/>
  <c r="V98" i="1"/>
  <c r="W98" i="1" s="1"/>
  <c r="P98" i="1"/>
  <c r="Q98" i="1" s="1"/>
  <c r="U98" i="1" s="1"/>
  <c r="E98" i="1"/>
  <c r="F98" i="1" s="1"/>
  <c r="Y98" i="1" s="1"/>
  <c r="O131" i="1"/>
  <c r="O77" i="1"/>
  <c r="O56" i="1"/>
  <c r="V99" i="1"/>
  <c r="W99" i="1" s="1"/>
  <c r="P99" i="1"/>
  <c r="Q99" i="1" s="1"/>
  <c r="E99" i="1"/>
  <c r="F99" i="1" s="1"/>
  <c r="Y99" i="1" s="1"/>
  <c r="Z99" i="1" l="1"/>
  <c r="U99" i="1"/>
  <c r="Z98" i="1"/>
  <c r="O101" i="1"/>
  <c r="V96" i="1"/>
  <c r="W96" i="1" s="1"/>
  <c r="P96" i="1"/>
  <c r="Q96" i="1" s="1"/>
  <c r="U96" i="1" s="1"/>
  <c r="E96" i="1"/>
  <c r="F96" i="1" s="1"/>
  <c r="Y96" i="1" s="1"/>
  <c r="V73" i="1"/>
  <c r="W73" i="1" s="1"/>
  <c r="Q73" i="1"/>
  <c r="U73" i="1" s="1"/>
  <c r="E73" i="1"/>
  <c r="F73" i="1" s="1"/>
  <c r="Y73" i="1" s="1"/>
  <c r="Z96" i="1" l="1"/>
  <c r="Z73" i="1"/>
  <c r="V69" i="1"/>
  <c r="W69" i="1" s="1"/>
  <c r="Q69" i="1"/>
  <c r="U69" i="1" s="1"/>
  <c r="E69" i="1"/>
  <c r="F69" i="1" s="1"/>
  <c r="Y69" i="1" s="1"/>
  <c r="Z69" i="1" l="1"/>
  <c r="V74" i="1"/>
  <c r="W74" i="1" s="1"/>
  <c r="Q74" i="1"/>
  <c r="P74" i="1"/>
  <c r="E74" i="1"/>
  <c r="F74" i="1" s="1"/>
  <c r="Y74" i="1" s="1"/>
  <c r="G7" i="1"/>
  <c r="G10" i="1"/>
  <c r="AB11" i="1" l="1"/>
  <c r="U74" i="1"/>
  <c r="Z74" i="1"/>
  <c r="V75" i="1"/>
  <c r="W75" i="1" s="1"/>
  <c r="P75" i="1"/>
  <c r="Q75" i="1" s="1"/>
  <c r="U75" i="1" s="1"/>
  <c r="E75" i="1"/>
  <c r="F75" i="1" s="1"/>
  <c r="Y75" i="1" s="1"/>
  <c r="Y130" i="1"/>
  <c r="V130" i="1"/>
  <c r="W130" i="1" s="1"/>
  <c r="Q130" i="1"/>
  <c r="P130" i="1"/>
  <c r="E130" i="1"/>
  <c r="F130" i="1" s="1"/>
  <c r="V125" i="1"/>
  <c r="W125" i="1" s="1"/>
  <c r="Q125" i="1"/>
  <c r="E125" i="1"/>
  <c r="F125" i="1" s="1"/>
  <c r="Y125" i="1" s="1"/>
  <c r="V114" i="1"/>
  <c r="W114" i="1" s="1"/>
  <c r="Q114" i="1"/>
  <c r="E114" i="1"/>
  <c r="F114" i="1" s="1"/>
  <c r="Y114" i="1" s="1"/>
  <c r="V104" i="1"/>
  <c r="W104" i="1" s="1"/>
  <c r="Q104" i="1"/>
  <c r="U104" i="1" s="1"/>
  <c r="Y104" i="1"/>
  <c r="Y103" i="1"/>
  <c r="V103" i="1"/>
  <c r="W103" i="1" s="1"/>
  <c r="Q103" i="1"/>
  <c r="P103" i="1"/>
  <c r="E103" i="1"/>
  <c r="F103" i="1" s="1"/>
  <c r="V95" i="1"/>
  <c r="W95" i="1" s="1"/>
  <c r="P95" i="1"/>
  <c r="Q95" i="1" s="1"/>
  <c r="E95" i="1"/>
  <c r="F95" i="1" s="1"/>
  <c r="Y95" i="1" s="1"/>
  <c r="V82" i="1"/>
  <c r="W82" i="1" s="1"/>
  <c r="P82" i="1"/>
  <c r="Q82" i="1" s="1"/>
  <c r="E82" i="1"/>
  <c r="F82" i="1" s="1"/>
  <c r="Y82" i="1" s="1"/>
  <c r="Z125" i="1" l="1"/>
  <c r="Z82" i="1"/>
  <c r="Z95" i="1"/>
  <c r="Z103" i="1"/>
  <c r="U130" i="1"/>
  <c r="U103" i="1"/>
  <c r="Z114" i="1"/>
  <c r="U95" i="1"/>
  <c r="U114" i="1"/>
  <c r="Z130" i="1"/>
  <c r="Z75" i="1"/>
  <c r="U82" i="1"/>
  <c r="U125" i="1"/>
  <c r="Z104" i="1"/>
  <c r="Z131" i="1" l="1"/>
  <c r="V100" i="1"/>
  <c r="W100" i="1" s="1"/>
  <c r="Q100" i="1"/>
  <c r="E100" i="1"/>
  <c r="F100" i="1" s="1"/>
  <c r="Y100" i="1" s="1"/>
  <c r="V97" i="1"/>
  <c r="W97" i="1" s="1"/>
  <c r="P97" i="1"/>
  <c r="Q97" i="1" s="1"/>
  <c r="E97" i="1"/>
  <c r="F97" i="1" s="1"/>
  <c r="Y97" i="1" s="1"/>
  <c r="V81" i="1"/>
  <c r="W81" i="1" s="1"/>
  <c r="P81" i="1"/>
  <c r="U81" i="1" s="1"/>
  <c r="E81" i="1"/>
  <c r="F81" i="1" s="1"/>
  <c r="Y81" i="1" s="1"/>
  <c r="V79" i="1"/>
  <c r="W79" i="1" s="1"/>
  <c r="P79" i="1"/>
  <c r="Q79" i="1" s="1"/>
  <c r="E79" i="1"/>
  <c r="F79" i="1" s="1"/>
  <c r="Y79" i="1" s="1"/>
  <c r="Q68" i="1"/>
  <c r="V68" i="1"/>
  <c r="W68" i="1" s="1"/>
  <c r="P68" i="1"/>
  <c r="E68" i="1"/>
  <c r="F68" i="1" s="1"/>
  <c r="Y68" i="1" s="1"/>
  <c r="V60" i="1"/>
  <c r="W60" i="1" s="1"/>
  <c r="P60" i="1"/>
  <c r="Q60" i="1" s="1"/>
  <c r="U60" i="1" s="1"/>
  <c r="E60" i="1"/>
  <c r="F60" i="1" s="1"/>
  <c r="Y60" i="1" s="1"/>
  <c r="V61" i="1"/>
  <c r="W61" i="1" s="1"/>
  <c r="P61" i="1"/>
  <c r="Q61" i="1" s="1"/>
  <c r="U61" i="1" s="1"/>
  <c r="E61" i="1"/>
  <c r="F61" i="1" s="1"/>
  <c r="Y61" i="1" s="1"/>
  <c r="U97" i="1" l="1"/>
  <c r="Z100" i="1"/>
  <c r="U79" i="1"/>
  <c r="Z97" i="1"/>
  <c r="U100" i="1"/>
  <c r="Z79" i="1"/>
  <c r="Z81" i="1"/>
  <c r="U68" i="1"/>
  <c r="Z68" i="1"/>
  <c r="Z60" i="1"/>
  <c r="Z61" i="1"/>
  <c r="V72" i="1"/>
  <c r="W72" i="1" s="1"/>
  <c r="P72" i="1"/>
  <c r="Q72" i="1" s="1"/>
  <c r="E72" i="1"/>
  <c r="F72" i="1" s="1"/>
  <c r="Y72" i="1" s="1"/>
  <c r="Z101" i="1" l="1"/>
  <c r="Z72" i="1"/>
  <c r="U72" i="1"/>
  <c r="V71" i="1" l="1"/>
  <c r="W71" i="1" s="1"/>
  <c r="P71" i="1"/>
  <c r="Q71" i="1" s="1"/>
  <c r="U71" i="1" s="1"/>
  <c r="E71" i="1"/>
  <c r="F71" i="1" s="1"/>
  <c r="Y71" i="1" s="1"/>
  <c r="Z71" i="1" l="1"/>
  <c r="V58" i="1"/>
  <c r="W58" i="1" s="1"/>
  <c r="P58" i="1"/>
  <c r="Q58" i="1" s="1"/>
  <c r="U58" i="1" s="1"/>
  <c r="E58" i="1"/>
  <c r="F58" i="1" s="1"/>
  <c r="Y58" i="1" s="1"/>
  <c r="V70" i="1"/>
  <c r="W70" i="1" s="1"/>
  <c r="E70" i="1"/>
  <c r="F70" i="1" s="1"/>
  <c r="Y70" i="1" s="1"/>
  <c r="Z58" i="1" l="1"/>
  <c r="Q70" i="1"/>
  <c r="U70" i="1" s="1"/>
  <c r="Z70" i="1"/>
  <c r="V62" i="1"/>
  <c r="W62" i="1" s="1"/>
  <c r="P62" i="1"/>
  <c r="Q62" i="1" s="1"/>
  <c r="U62" i="1" s="1"/>
  <c r="E62" i="1"/>
  <c r="F62" i="1" s="1"/>
  <c r="Y62" i="1" s="1"/>
  <c r="V53" i="1"/>
  <c r="W53" i="1" s="1"/>
  <c r="P53" i="1"/>
  <c r="Q53" i="1" s="1"/>
  <c r="U53" i="1" s="1"/>
  <c r="E53" i="1"/>
  <c r="F53" i="1" s="1"/>
  <c r="Y53" i="1" s="1"/>
  <c r="V65" i="1"/>
  <c r="W65" i="1" s="1"/>
  <c r="P65" i="1"/>
  <c r="Q65" i="1" s="1"/>
  <c r="U65" i="1" s="1"/>
  <c r="E65" i="1"/>
  <c r="F65" i="1" s="1"/>
  <c r="Y65" i="1" s="1"/>
  <c r="V54" i="1"/>
  <c r="W54" i="1" s="1"/>
  <c r="P54" i="1"/>
  <c r="Q54" i="1" s="1"/>
  <c r="E54" i="1"/>
  <c r="F54" i="1" s="1"/>
  <c r="Y54" i="1" s="1"/>
  <c r="Z54" i="1" l="1"/>
  <c r="Z62" i="1"/>
  <c r="Z65" i="1"/>
  <c r="Z53" i="1"/>
  <c r="U54" i="1"/>
  <c r="V63" i="1"/>
  <c r="W63" i="1" s="1"/>
  <c r="P63" i="1"/>
  <c r="Q63" i="1" s="1"/>
  <c r="U63" i="1" s="1"/>
  <c r="E63" i="1"/>
  <c r="F63" i="1" s="1"/>
  <c r="Y63" i="1" s="1"/>
  <c r="Y55" i="1"/>
  <c r="V55" i="1"/>
  <c r="W55" i="1" s="1"/>
  <c r="Q55" i="1"/>
  <c r="P55" i="1"/>
  <c r="V67" i="1"/>
  <c r="W67" i="1" s="1"/>
  <c r="P67" i="1"/>
  <c r="Q67" i="1" s="1"/>
  <c r="U67" i="1" s="1"/>
  <c r="E67" i="1"/>
  <c r="F67" i="1" s="1"/>
  <c r="Y67" i="1" s="1"/>
  <c r="V52" i="1"/>
  <c r="W52" i="1" s="1"/>
  <c r="P52" i="1"/>
  <c r="Q52" i="1" s="1"/>
  <c r="U52" i="1" s="1"/>
  <c r="E52" i="1"/>
  <c r="F52" i="1" s="1"/>
  <c r="Y52" i="1" s="1"/>
  <c r="V59" i="1"/>
  <c r="W59" i="1" s="1"/>
  <c r="P59" i="1"/>
  <c r="Q59" i="1" s="1"/>
  <c r="U59" i="1" s="1"/>
  <c r="E59" i="1"/>
  <c r="F59" i="1" s="1"/>
  <c r="Y59" i="1" s="1"/>
  <c r="V64" i="1"/>
  <c r="W64" i="1" s="1"/>
  <c r="P64" i="1"/>
  <c r="Q64" i="1" s="1"/>
  <c r="U64" i="1" s="1"/>
  <c r="E64" i="1"/>
  <c r="F64" i="1" s="1"/>
  <c r="Y64" i="1" s="1"/>
  <c r="U55" i="1" l="1"/>
  <c r="Z52" i="1"/>
  <c r="Z55" i="1"/>
  <c r="Z63" i="1"/>
  <c r="Z67" i="1"/>
  <c r="Z59" i="1"/>
  <c r="Z64" i="1"/>
  <c r="V10" i="1"/>
  <c r="Y10" i="1" s="1"/>
  <c r="V8" i="1"/>
  <c r="Y8" i="1" s="1"/>
  <c r="V9" i="1"/>
  <c r="Y9" i="1" s="1"/>
  <c r="V50" i="1"/>
  <c r="Q50" i="1"/>
  <c r="U50" i="1" s="1"/>
  <c r="E50" i="1"/>
  <c r="F50" i="1" s="1"/>
  <c r="Y50" i="1" s="1"/>
  <c r="V76" i="1"/>
  <c r="W76" i="1" s="1"/>
  <c r="P76" i="1"/>
  <c r="Q76" i="1" s="1"/>
  <c r="E76" i="1"/>
  <c r="F76" i="1" s="1"/>
  <c r="Y76" i="1" s="1"/>
  <c r="V66" i="1"/>
  <c r="W66" i="1" s="1"/>
  <c r="P66" i="1"/>
  <c r="Q66" i="1" s="1"/>
  <c r="U66" i="1" s="1"/>
  <c r="E66" i="1"/>
  <c r="F66" i="1" s="1"/>
  <c r="Y66" i="1" s="1"/>
  <c r="U76" i="1" l="1"/>
  <c r="Z76" i="1"/>
  <c r="W50" i="1"/>
  <c r="Z66" i="1"/>
  <c r="V51" i="1"/>
  <c r="W51" i="1" s="1"/>
  <c r="P51" i="1"/>
  <c r="Q51" i="1" s="1"/>
  <c r="E51" i="1"/>
  <c r="F51" i="1" s="1"/>
  <c r="Y51" i="1" s="1"/>
  <c r="V47" i="1"/>
  <c r="W47" i="1" s="1"/>
  <c r="P47" i="1"/>
  <c r="Q47" i="1" s="1"/>
  <c r="U47" i="1" s="1"/>
  <c r="E47" i="1"/>
  <c r="F47" i="1" s="1"/>
  <c r="Y47" i="1" s="1"/>
  <c r="V48" i="1"/>
  <c r="W48" i="1" s="1"/>
  <c r="P48" i="1"/>
  <c r="Q48" i="1" s="1"/>
  <c r="U48" i="1" s="1"/>
  <c r="E48" i="1"/>
  <c r="F48" i="1" s="1"/>
  <c r="Y48" i="1" s="1"/>
  <c r="Z77" i="1" l="1"/>
  <c r="Z50" i="1"/>
  <c r="U51" i="1"/>
  <c r="Z51" i="1"/>
  <c r="Z47" i="1"/>
  <c r="Z48" i="1"/>
  <c r="V49" i="1"/>
  <c r="W49" i="1" s="1"/>
  <c r="P49" i="1"/>
  <c r="Q49" i="1" s="1"/>
  <c r="U49" i="1" s="1"/>
  <c r="E49" i="1"/>
  <c r="F49" i="1" s="1"/>
  <c r="Y49" i="1" s="1"/>
  <c r="Z49" i="1" l="1"/>
  <c r="V46" i="1"/>
  <c r="W46" i="1" s="1"/>
  <c r="P46" i="1"/>
  <c r="Q46" i="1" s="1"/>
  <c r="U46" i="1" s="1"/>
  <c r="E46" i="1"/>
  <c r="F46" i="1" s="1"/>
  <c r="Y46" i="1" s="1"/>
  <c r="Z46" i="1" l="1"/>
  <c r="P42" i="1"/>
  <c r="Q42" i="1" s="1"/>
  <c r="U42" i="1" s="1"/>
  <c r="V42" i="1"/>
  <c r="W42" i="1" s="1"/>
  <c r="E42" i="1"/>
  <c r="F42" i="1" s="1"/>
  <c r="Y42" i="1" s="1"/>
  <c r="Y40" i="1"/>
  <c r="V40" i="1"/>
  <c r="W40" i="1" s="1"/>
  <c r="P40" i="1"/>
  <c r="Q40" i="1" s="1"/>
  <c r="U40" i="1" s="1"/>
  <c r="W2" i="1"/>
  <c r="Z40" i="1" l="1"/>
  <c r="Z42" i="1"/>
  <c r="V43" i="1"/>
  <c r="W43" i="1" s="1"/>
  <c r="P43" i="1"/>
  <c r="Q43" i="1" s="1"/>
  <c r="U43" i="1" s="1"/>
  <c r="E43" i="1"/>
  <c r="F43" i="1" s="1"/>
  <c r="Y43" i="1" s="1"/>
  <c r="V44" i="1"/>
  <c r="W44" i="1" s="1"/>
  <c r="P44" i="1"/>
  <c r="Q44" i="1" s="1"/>
  <c r="U44" i="1" s="1"/>
  <c r="E44" i="1"/>
  <c r="F44" i="1" s="1"/>
  <c r="Y44" i="1" s="1"/>
  <c r="V41" i="1"/>
  <c r="W41" i="1" s="1"/>
  <c r="Q41" i="1"/>
  <c r="U41" i="1" s="1"/>
  <c r="E41" i="1"/>
  <c r="F41" i="1" s="1"/>
  <c r="Y41" i="1" s="1"/>
  <c r="Z43" i="1" l="1"/>
  <c r="Z44" i="1"/>
  <c r="Z41" i="1"/>
  <c r="V45" i="1"/>
  <c r="W45" i="1" s="1"/>
  <c r="P45" i="1"/>
  <c r="E45" i="1"/>
  <c r="F45" i="1" s="1"/>
  <c r="Y45" i="1" s="1"/>
  <c r="V27" i="1"/>
  <c r="W27" i="1" s="1"/>
  <c r="P27" i="1"/>
  <c r="Q27" i="1" s="1"/>
  <c r="U27" i="1" s="1"/>
  <c r="E27" i="1"/>
  <c r="F27" i="1" s="1"/>
  <c r="Y27" i="1" s="1"/>
  <c r="P21" i="1"/>
  <c r="Q21" i="1"/>
  <c r="V21" i="1"/>
  <c r="W21" i="1" s="1"/>
  <c r="Y21" i="1"/>
  <c r="Z21" i="1" l="1"/>
  <c r="Q45" i="1"/>
  <c r="U45" i="1" s="1"/>
  <c r="Z45" i="1"/>
  <c r="U21" i="1"/>
  <c r="Z27" i="1"/>
  <c r="O29" i="1"/>
  <c r="O37" i="1" s="1"/>
  <c r="Y19" i="1"/>
  <c r="V19" i="1"/>
  <c r="W19" i="1" s="1"/>
  <c r="P19" i="1"/>
  <c r="Q19" i="1" s="1"/>
  <c r="U19" i="1" s="1"/>
  <c r="Z19" i="1" l="1"/>
  <c r="V24" i="1"/>
  <c r="W24" i="1" s="1"/>
  <c r="P24" i="1"/>
  <c r="Q24" i="1" s="1"/>
  <c r="E24" i="1"/>
  <c r="F24" i="1" s="1"/>
  <c r="Y24" i="1" s="1"/>
  <c r="V22" i="1"/>
  <c r="W22" i="1" s="1"/>
  <c r="P22" i="1"/>
  <c r="Q22" i="1" s="1"/>
  <c r="U22" i="1" s="1"/>
  <c r="E22" i="1"/>
  <c r="F22" i="1" s="1"/>
  <c r="Y22" i="1" s="1"/>
  <c r="E35" i="1"/>
  <c r="F35" i="1" s="1"/>
  <c r="E34" i="1"/>
  <c r="F34" i="1" s="1"/>
  <c r="Y34" i="1" s="1"/>
  <c r="E33" i="1"/>
  <c r="F33" i="1" s="1"/>
  <c r="Y33" i="1" s="1"/>
  <c r="E32" i="1"/>
  <c r="F32" i="1" s="1"/>
  <c r="E31" i="1"/>
  <c r="F31" i="1" s="1"/>
  <c r="Y31" i="1" s="1"/>
  <c r="E30" i="1"/>
  <c r="F30" i="1" s="1"/>
  <c r="Y30" i="1" s="1"/>
  <c r="E29" i="1"/>
  <c r="F29" i="1" s="1"/>
  <c r="Y29" i="1" s="1"/>
  <c r="E28" i="1"/>
  <c r="F28" i="1" s="1"/>
  <c r="Y28" i="1" s="1"/>
  <c r="E26" i="1"/>
  <c r="F26" i="1" s="1"/>
  <c r="E25" i="1"/>
  <c r="F25" i="1" s="1"/>
  <c r="Y25" i="1" s="1"/>
  <c r="E23" i="1"/>
  <c r="F23" i="1" s="1"/>
  <c r="Y23" i="1" s="1"/>
  <c r="E20" i="1"/>
  <c r="F20" i="1" s="1"/>
  <c r="Y20" i="1" s="1"/>
  <c r="E18" i="1"/>
  <c r="F18" i="1" s="1"/>
  <c r="Y18" i="1" s="1"/>
  <c r="E17" i="1"/>
  <c r="F17" i="1" s="1"/>
  <c r="V33" i="1"/>
  <c r="W33" i="1" s="1"/>
  <c r="P33" i="1"/>
  <c r="Q33" i="1" s="1"/>
  <c r="Y32" i="1"/>
  <c r="V32" i="1"/>
  <c r="W32" i="1" s="1"/>
  <c r="Q32" i="1"/>
  <c r="P32" i="1"/>
  <c r="V31" i="1"/>
  <c r="W31" i="1" s="1"/>
  <c r="P31" i="1"/>
  <c r="Q31" i="1" s="1"/>
  <c r="V30" i="1"/>
  <c r="W30" i="1" s="1"/>
  <c r="P30" i="1"/>
  <c r="Q30" i="1" s="1"/>
  <c r="V29" i="1"/>
  <c r="W29" i="1" s="1"/>
  <c r="P29" i="1"/>
  <c r="Q29" i="1" s="1"/>
  <c r="V28" i="1"/>
  <c r="W28" i="1" s="1"/>
  <c r="P28" i="1"/>
  <c r="Q28" i="1" s="1"/>
  <c r="V26" i="1"/>
  <c r="W26" i="1" s="1"/>
  <c r="Z26" i="1" s="1"/>
  <c r="P26" i="1"/>
  <c r="Q26" i="1" s="1"/>
  <c r="V25" i="1"/>
  <c r="W25" i="1" s="1"/>
  <c r="P25" i="1"/>
  <c r="Q25" i="1" s="1"/>
  <c r="U25" i="1" s="1"/>
  <c r="V23" i="1"/>
  <c r="W23" i="1" s="1"/>
  <c r="Q23" i="1"/>
  <c r="P23" i="1"/>
  <c r="V20" i="1"/>
  <c r="W20" i="1" s="1"/>
  <c r="P20" i="1"/>
  <c r="Q20" i="1" s="1"/>
  <c r="V18" i="1"/>
  <c r="W18" i="1" s="1"/>
  <c r="P18" i="1"/>
  <c r="Q18" i="1" s="1"/>
  <c r="U18" i="1" s="1"/>
  <c r="Y17" i="1"/>
  <c r="V17" i="1"/>
  <c r="W17" i="1" s="1"/>
  <c r="Q17" i="1"/>
  <c r="P17" i="1"/>
  <c r="Y35" i="1"/>
  <c r="V35" i="1"/>
  <c r="W35" i="1" s="1"/>
  <c r="Q35" i="1"/>
  <c r="P35" i="1"/>
  <c r="V34" i="1"/>
  <c r="W34" i="1" s="1"/>
  <c r="Q34" i="1"/>
  <c r="V7" i="1"/>
  <c r="Y7" i="1" s="1"/>
  <c r="J7" i="1"/>
  <c r="V11" i="1"/>
  <c r="Y11" i="1" s="1"/>
  <c r="P3" i="1"/>
  <c r="U24" i="1" l="1"/>
  <c r="Z24" i="1"/>
  <c r="Z22" i="1"/>
  <c r="Z35" i="1"/>
  <c r="Z18" i="1"/>
  <c r="Z23" i="1"/>
  <c r="U17" i="1"/>
  <c r="U20" i="1"/>
  <c r="U23" i="1"/>
  <c r="U31" i="1"/>
  <c r="U33" i="1"/>
  <c r="Z29" i="1"/>
  <c r="Z33" i="1"/>
  <c r="Z31" i="1"/>
  <c r="Z17" i="1"/>
  <c r="Z20" i="1"/>
  <c r="Z25" i="1"/>
  <c r="U29" i="1"/>
  <c r="Z30" i="1"/>
  <c r="Z32" i="1"/>
  <c r="Z28" i="1"/>
  <c r="U30" i="1"/>
  <c r="U32" i="1"/>
  <c r="U28" i="1"/>
  <c r="U26" i="1"/>
  <c r="U35" i="1"/>
  <c r="Z34" i="1"/>
  <c r="U34" i="1"/>
  <c r="J8" i="1" l="1"/>
  <c r="Q9" i="1"/>
  <c r="J10" i="1"/>
  <c r="E16" i="1"/>
  <c r="Q36" i="1"/>
  <c r="V39" i="1"/>
  <c r="V36" i="1"/>
  <c r="V16" i="1"/>
  <c r="V217" i="1" l="1"/>
  <c r="R9" i="1"/>
  <c r="S9" i="1" s="1"/>
  <c r="Q11" i="1"/>
  <c r="Q7" i="1"/>
  <c r="R7" i="1" s="1"/>
  <c r="S7" i="1" s="1"/>
  <c r="Q10" i="1"/>
  <c r="R10" i="1" s="1"/>
  <c r="Q8" i="1"/>
  <c r="R8" i="1" s="1"/>
  <c r="F16" i="1"/>
  <c r="Y16" i="1" s="1"/>
  <c r="Q16" i="1"/>
  <c r="W16" i="1"/>
  <c r="R11" i="1" l="1"/>
  <c r="S11" i="1" s="1"/>
  <c r="U16" i="1"/>
  <c r="Z16" i="1"/>
  <c r="E36" i="1"/>
  <c r="T7" i="1" l="1"/>
  <c r="U7" i="1" s="1"/>
  <c r="S10" i="1"/>
  <c r="S8" i="1"/>
  <c r="Y36" i="1"/>
  <c r="E55" i="1"/>
  <c r="F55" i="1" s="1"/>
  <c r="E39" i="1"/>
  <c r="F39" i="1" s="1"/>
  <c r="Y39" i="1" s="1"/>
  <c r="F36" i="1"/>
  <c r="H219" i="1"/>
  <c r="X217" i="1"/>
  <c r="W39" i="1"/>
  <c r="P39" i="1"/>
  <c r="W36" i="1"/>
  <c r="P36" i="1"/>
  <c r="Y217" i="1" l="1"/>
  <c r="H221" i="1"/>
  <c r="W217" i="1"/>
  <c r="Q39" i="1"/>
  <c r="U39" i="1" s="1"/>
  <c r="T8" i="1"/>
  <c r="U8" i="1" s="1"/>
  <c r="T10" i="1"/>
  <c r="U10" i="1" s="1"/>
  <c r="T9" i="1"/>
  <c r="T11" i="1"/>
  <c r="U11" i="1" s="1"/>
  <c r="U36" i="1"/>
  <c r="Z39" i="1"/>
  <c r="Z56" i="1" s="1"/>
  <c r="Z36" i="1"/>
  <c r="Z37" i="1" s="1"/>
  <c r="U9" i="1" l="1"/>
  <c r="H222" i="1"/>
  <c r="H225" i="1" s="1"/>
  <c r="H224" i="1"/>
  <c r="Z217" i="1" l="1"/>
  <c r="Z219" i="1" l="1"/>
  <c r="H226" i="1"/>
</calcChain>
</file>

<file path=xl/sharedStrings.xml><?xml version="1.0" encoding="utf-8"?>
<sst xmlns="http://schemas.openxmlformats.org/spreadsheetml/2006/main" count="1387" uniqueCount="652">
  <si>
    <t>TAX</t>
  </si>
  <si>
    <t xml:space="preserve">PER </t>
  </si>
  <si>
    <t>NIGH</t>
  </si>
  <si>
    <t>MONTH</t>
  </si>
  <si>
    <t>EXTRA</t>
  </si>
  <si>
    <t xml:space="preserve"> NIGHTS</t>
  </si>
  <si>
    <t xml:space="preserve"> PEOPLE</t>
  </si>
  <si>
    <t>TOTAL</t>
  </si>
  <si>
    <t>CLEAN</t>
  </si>
  <si>
    <t>PEOPLE</t>
  </si>
  <si>
    <t xml:space="preserve"> TAX</t>
  </si>
  <si>
    <t>PAYPAL</t>
  </si>
  <si>
    <t>TOTAL INC</t>
  </si>
  <si>
    <t>NAME</t>
  </si>
  <si>
    <t>SITE</t>
  </si>
  <si>
    <t>DATES</t>
  </si>
  <si>
    <t>People</t>
  </si>
  <si>
    <t>RENT</t>
  </si>
  <si>
    <t>DEPOSIT</t>
  </si>
  <si>
    <t>BALANCE</t>
  </si>
  <si>
    <t>DUE</t>
  </si>
  <si>
    <t>A/D/F1/B/F2/T</t>
  </si>
  <si>
    <t>NET</t>
  </si>
  <si>
    <t>REPAIRS</t>
  </si>
  <si>
    <t>GREET</t>
  </si>
  <si>
    <t>NET NET</t>
  </si>
  <si>
    <t>EMAIL</t>
  </si>
  <si>
    <t>NA</t>
  </si>
  <si>
    <t>#</t>
  </si>
  <si>
    <t>Nights</t>
  </si>
  <si>
    <t>Weeks:</t>
  </si>
  <si>
    <t>Nights:</t>
  </si>
  <si>
    <t xml:space="preserve"> PAY PAL 3.9%? 1=Y 0=N</t>
  </si>
  <si>
    <t>Us Nights</t>
  </si>
  <si>
    <t>Us Weeks</t>
  </si>
  <si>
    <t>Rented Nights</t>
  </si>
  <si>
    <t>Rented Weeks</t>
  </si>
  <si>
    <t>Per week NET NET</t>
  </si>
  <si>
    <t>Base Rent</t>
  </si>
  <si>
    <t>Bnk/PayP</t>
  </si>
  <si>
    <t>Jul-Aug</t>
  </si>
  <si>
    <t>May &amp; Sep</t>
  </si>
  <si>
    <t>April &amp; Oct</t>
  </si>
  <si>
    <t>Nov to March</t>
  </si>
  <si>
    <t>June</t>
  </si>
  <si>
    <t>Quoted</t>
  </si>
  <si>
    <t>WEEK</t>
  </si>
  <si>
    <t>tim.mccarthy1@yahoo.com</t>
  </si>
  <si>
    <t>HR</t>
  </si>
  <si>
    <t>4 inc 0 children</t>
  </si>
  <si>
    <t>NOW</t>
  </si>
  <si>
    <t>Bank</t>
  </si>
  <si>
    <t xml:space="preserve">22-DEC 10 - 4 Jan 11 </t>
  </si>
  <si>
    <t>OD</t>
  </si>
  <si>
    <t>4 inc 2 children</t>
  </si>
  <si>
    <t>Dos Santos</t>
  </si>
  <si>
    <t>3 inc 1 child</t>
  </si>
  <si>
    <r>
      <t>4 Aug</t>
    </r>
    <r>
      <rPr>
        <sz val="16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>10AM</t>
    </r>
    <r>
      <rPr>
        <sz val="11"/>
        <color theme="1"/>
        <rFont val="Calibri"/>
        <family val="2"/>
        <scheme val="minor"/>
      </rPr>
      <t xml:space="preserve"> to 18 Aug</t>
    </r>
  </si>
  <si>
    <t>kenthom61@aol.com</t>
  </si>
  <si>
    <t>HL</t>
  </si>
  <si>
    <t>20 Apr to 3 May</t>
  </si>
  <si>
    <t>2 inc 0 children</t>
  </si>
  <si>
    <t>Christine Hunter</t>
  </si>
  <si>
    <t>30 Sept to 7 Oct</t>
  </si>
  <si>
    <t>Dave &amp; Mary Stuart</t>
  </si>
  <si>
    <t>marystuart@eircom.net  marystuart1965@gmail.com</t>
  </si>
  <si>
    <t>dutch.eastpark@sky.com</t>
  </si>
  <si>
    <t>Anne Kleijwegt</t>
  </si>
  <si>
    <t>25 Jul to 3 Aug 2011</t>
  </si>
  <si>
    <t>4 Inc 2 Children</t>
  </si>
  <si>
    <r>
      <t>Clen</t>
    </r>
    <r>
      <rPr>
        <b/>
        <sz val="11"/>
        <color rgb="FFFF0000"/>
        <rFont val="Calibri"/>
        <family val="2"/>
        <scheme val="minor"/>
      </rPr>
      <t xml:space="preserve"> Exit Only</t>
    </r>
  </si>
  <si>
    <t>8 jun to 15 jun</t>
  </si>
  <si>
    <t>5 inc 0 children</t>
  </si>
  <si>
    <t>lindaquinn1948@eircom.net  patriciabagnall@yahoo.ie</t>
  </si>
  <si>
    <t>Linda Qinn</t>
  </si>
  <si>
    <t>robert.dempsey@lornestewart.co.uk</t>
  </si>
  <si>
    <t>Robert Dempsey</t>
  </si>
  <si>
    <t>21 Jun 5 Jul</t>
  </si>
  <si>
    <r>
      <t>7 Jul to 18 Jul</t>
    </r>
    <r>
      <rPr>
        <sz val="11"/>
        <color theme="1"/>
        <rFont val="Calibri"/>
        <family val="2"/>
        <scheme val="minor"/>
      </rPr>
      <t xml:space="preserve"> </t>
    </r>
  </si>
  <si>
    <t>Tim Mccarthy</t>
  </si>
  <si>
    <t>Kenneth Thomson</t>
  </si>
  <si>
    <t>Catherine Archer</t>
  </si>
  <si>
    <t>cathsarcher@hotmail.com</t>
  </si>
  <si>
    <t>29 May to 5 Jun</t>
  </si>
  <si>
    <t>4 Inc 2 Children (One BABY)</t>
  </si>
  <si>
    <t>Les Davies</t>
  </si>
  <si>
    <t>lesdavies121@hotmail.com</t>
  </si>
  <si>
    <t>18 Jul to 25 Jul</t>
  </si>
  <si>
    <t>5 Inc 2 children</t>
  </si>
  <si>
    <t>8 Sep to 22 Sep</t>
  </si>
  <si>
    <t>2 inc 0 Children</t>
  </si>
  <si>
    <t>Marianne Sjoebergh</t>
  </si>
  <si>
    <t>marianne@lamaro.se</t>
  </si>
  <si>
    <t>5 Nov to 10 Dec</t>
  </si>
  <si>
    <t>29 Aug to 7 Sep</t>
  </si>
  <si>
    <t>juergen.schwitzkowski@web.de</t>
  </si>
  <si>
    <t>Jürgen Schwitzkowski</t>
  </si>
  <si>
    <t>2 Inc 1 Children</t>
  </si>
  <si>
    <t>A/D/F1/B/F2 COMING IN SEP</t>
  </si>
  <si>
    <t>A/D/F1/B/F2-SENT SECOND BANK INFO REQUEST</t>
  </si>
  <si>
    <t>A/D/F1/B/F2-waiting reply</t>
  </si>
  <si>
    <t>Sharon Laws</t>
  </si>
  <si>
    <t>sharonlaws100@yahoo.com</t>
  </si>
  <si>
    <t>9 Oct to 16 Oct</t>
  </si>
  <si>
    <t>5 inc 1 children</t>
  </si>
  <si>
    <t>Frank Bannon</t>
  </si>
  <si>
    <t>francisbannon@btinternet.com</t>
  </si>
  <si>
    <t>FK</t>
  </si>
  <si>
    <t>19 Aug to 29 Aug</t>
  </si>
  <si>
    <t>Now</t>
  </si>
  <si>
    <t>A/D/F1/B/F2/RR/T</t>
  </si>
  <si>
    <t>Adam Bishop</t>
  </si>
  <si>
    <t>17 Jul 26 Jul</t>
  </si>
  <si>
    <t>abcis17@live.co.uk</t>
  </si>
  <si>
    <r>
      <t>A/D/F1/B/F2/</t>
    </r>
    <r>
      <rPr>
        <sz val="11"/>
        <color rgb="FFFF0000"/>
        <rFont val="Calibri"/>
        <family val="2"/>
        <scheme val="minor"/>
      </rPr>
      <t>RR</t>
    </r>
    <r>
      <rPr>
        <sz val="11"/>
        <color theme="1"/>
        <rFont val="Calibri"/>
        <family val="2"/>
        <scheme val="minor"/>
      </rPr>
      <t>/T</t>
    </r>
  </si>
  <si>
    <t>RFRA/D/F1/B/F2/HOLDING (300 E) DEPOSIT FOR NEXT YEAR</t>
  </si>
  <si>
    <t>5 to 19 May</t>
  </si>
  <si>
    <r>
      <t>Clan</t>
    </r>
    <r>
      <rPr>
        <b/>
        <sz val="11"/>
        <color rgb="FFFF0000"/>
        <rFont val="Calibri"/>
        <family val="2"/>
        <scheme val="minor"/>
      </rPr>
      <t xml:space="preserve"> INTERIM AND EXIT</t>
    </r>
  </si>
  <si>
    <r>
      <t>Clean</t>
    </r>
    <r>
      <rPr>
        <b/>
        <sz val="11"/>
        <color rgb="FFFF0000"/>
        <rFont val="Calibri"/>
        <family val="2"/>
        <scheme val="minor"/>
      </rPr>
      <t xml:space="preserve"> Exit Only</t>
    </r>
  </si>
  <si>
    <t>chunter6@talktalk.net &lt;------------ NEW EMAIL  chunter6@btinternet.com</t>
  </si>
  <si>
    <t>Kieran Guiry</t>
  </si>
  <si>
    <t>kieranguiry@gmail.com</t>
  </si>
  <si>
    <t>3 Jul 14 Jul</t>
  </si>
  <si>
    <t>5 inc 3 children</t>
  </si>
  <si>
    <t>11 Jun to 25 Jun</t>
  </si>
  <si>
    <t>bryansheahan@gmail.com</t>
  </si>
  <si>
    <t>18 to 30 Dec</t>
  </si>
  <si>
    <t>6 inc 0 children</t>
  </si>
  <si>
    <r>
      <t>SETUP BOTH TRUNDLEBEDS Clen</t>
    </r>
    <r>
      <rPr>
        <b/>
        <sz val="11"/>
        <color rgb="FFFF0000"/>
        <rFont val="Calibri"/>
        <family val="2"/>
        <scheme val="minor"/>
      </rPr>
      <t xml:space="preserve"> Exit Only</t>
    </r>
  </si>
  <si>
    <t>Bryan Sheahan CANCELED</t>
  </si>
  <si>
    <r>
      <t xml:space="preserve">Robert Dempsey </t>
    </r>
    <r>
      <rPr>
        <sz val="11"/>
        <color rgb="FFFF0000"/>
        <rFont val="Calibri"/>
        <family val="2"/>
        <scheme val="minor"/>
      </rPr>
      <t>(Ret Cust)</t>
    </r>
  </si>
  <si>
    <t>Julian Banks</t>
  </si>
  <si>
    <t>Julianbanks@hotmail.com</t>
  </si>
  <si>
    <t>6 to 13 Jan</t>
  </si>
  <si>
    <t>26 may 2 june</t>
  </si>
  <si>
    <t>6 inc 2 children</t>
  </si>
  <si>
    <t>Guy Jones</t>
  </si>
  <si>
    <t>guy_jones1@hotmail.co.uk</t>
  </si>
  <si>
    <t>29 Jul to 12 Aug</t>
  </si>
  <si>
    <t>6 inc 4 childdren</t>
  </si>
  <si>
    <t>Ronnie Moyle</t>
  </si>
  <si>
    <t>ronnie.moyle@virgin.net</t>
  </si>
  <si>
    <t>2 Sep to 16 Sep</t>
  </si>
  <si>
    <t>4 Inc 0 Children</t>
  </si>
  <si>
    <t>Kevin Osborne</t>
  </si>
  <si>
    <t>kevin.osborne@piperhill-construction.co.uk</t>
  </si>
  <si>
    <t>natasha.brookner@sky.com</t>
  </si>
  <si>
    <t>26 Aug to 2 Sep</t>
  </si>
  <si>
    <t>5 Inc 2 Children</t>
  </si>
  <si>
    <t>A/D/F1/B/F2</t>
  </si>
  <si>
    <t>Sonja Dagens</t>
  </si>
  <si>
    <t>sonjadagens@hotmail.com</t>
  </si>
  <si>
    <t>12 Aug to 22 Aug</t>
  </si>
  <si>
    <t>andrew.young73@btinternet.com</t>
  </si>
  <si>
    <t xml:space="preserve">26 Sep to Oct 8 </t>
  </si>
  <si>
    <r>
      <t>Andy Young</t>
    </r>
    <r>
      <rPr>
        <sz val="11"/>
        <color rgb="FFFF0000"/>
        <rFont val="Calibri"/>
        <family val="2"/>
        <scheme val="minor"/>
      </rPr>
      <t xml:space="preserve"> (Ret Cust)</t>
    </r>
  </si>
  <si>
    <r>
      <t>Natasha Brookner (</t>
    </r>
    <r>
      <rPr>
        <sz val="10"/>
        <color rgb="FFFF0000"/>
        <rFont val="Arial"/>
        <family val="2"/>
      </rPr>
      <t>IN EARLY CLEAN DAY BEFORE</t>
    </r>
    <r>
      <rPr>
        <sz val="10"/>
        <rFont val="Arial"/>
        <family val="2"/>
      </rPr>
      <t>)</t>
    </r>
  </si>
  <si>
    <r>
      <t>Kenneth Thomson</t>
    </r>
    <r>
      <rPr>
        <sz val="11"/>
        <color rgb="FFFF0000"/>
        <rFont val="Calibri"/>
        <family val="2"/>
        <scheme val="minor"/>
      </rPr>
      <t xml:space="preserve"> (Ret Cust) (also 2013 keeping 300E Deposit)</t>
    </r>
  </si>
  <si>
    <t>robert.dempsey@lornestewart.co.uk cd001c5977@blueyonder.co.uk</t>
  </si>
  <si>
    <t>gillianlinke@biscituk.com</t>
  </si>
  <si>
    <t>Gillian Linke</t>
  </si>
  <si>
    <t>9 to 16 Oct</t>
  </si>
  <si>
    <t>Stephen Lee</t>
  </si>
  <si>
    <t>steves.lee@barclays.com</t>
  </si>
  <si>
    <t>23 Jul to 6 Aug</t>
  </si>
  <si>
    <t>A/D/F1</t>
  </si>
  <si>
    <t>16 to 24 September</t>
  </si>
  <si>
    <t>Gordon Cormack</t>
  </si>
  <si>
    <t>Gordoncormack@hetnet.nl</t>
  </si>
  <si>
    <t>Dos santos</t>
  </si>
  <si>
    <t>na</t>
  </si>
  <si>
    <t>26 June to 13 July</t>
  </si>
  <si>
    <t>3 inc Jason</t>
  </si>
  <si>
    <t>Bert Loveless</t>
  </si>
  <si>
    <t>3 Feb to 31 March</t>
  </si>
  <si>
    <t>2 Inc 0 cjhildren</t>
  </si>
  <si>
    <t>A/D/F1/B/F2/RR</t>
  </si>
  <si>
    <t>Lisa McCullough</t>
  </si>
  <si>
    <t>lisa.email@tiscali.co.uk</t>
  </si>
  <si>
    <t>6 Aug to 20 August</t>
  </si>
  <si>
    <t>A/D/F1/B/F2/RR/</t>
  </si>
  <si>
    <t>Maureen Carter</t>
  </si>
  <si>
    <t xml:space="preserve">colinl.carter@sky.com </t>
  </si>
  <si>
    <t>18 Jun to 26 Jun</t>
  </si>
  <si>
    <t>2 to 16 Nov</t>
  </si>
  <si>
    <t>george knowles</t>
  </si>
  <si>
    <t>knowlesgeorge@hotmail.com</t>
  </si>
  <si>
    <t>13 July to 23 July</t>
  </si>
  <si>
    <t>Heron.nicola@yahoo.co.uk</t>
  </si>
  <si>
    <t>Nicola Heron</t>
  </si>
  <si>
    <t>Geoff Stamper</t>
  </si>
  <si>
    <t>geoffreystamper@hotmail.com</t>
  </si>
  <si>
    <t>17 to 24 Oct</t>
  </si>
  <si>
    <r>
      <rPr>
        <b/>
        <sz val="11"/>
        <color rgb="FFFF0000"/>
        <rFont val="Calibri"/>
        <family val="2"/>
        <scheme val="minor"/>
      </rPr>
      <t>ARRIVING EARLY 10AM</t>
    </r>
    <r>
      <rPr>
        <sz val="11"/>
        <color theme="1"/>
        <rFont val="Calibri"/>
        <family val="2"/>
        <scheme val="minor"/>
      </rPr>
      <t xml:space="preserve"> Clean</t>
    </r>
    <r>
      <rPr>
        <b/>
        <sz val="11"/>
        <color rgb="FFFF0000"/>
        <rFont val="Calibri"/>
        <family val="2"/>
        <scheme val="minor"/>
      </rPr>
      <t xml:space="preserve"> Exit Only</t>
    </r>
  </si>
  <si>
    <r>
      <t xml:space="preserve">26 May to June 8 </t>
    </r>
    <r>
      <rPr>
        <sz val="11"/>
        <color rgb="FFFF0000"/>
        <rFont val="Calibri"/>
        <family val="2"/>
        <scheme val="minor"/>
      </rPr>
      <t>(leavinf early morning)</t>
    </r>
  </si>
  <si>
    <t>lloveless@bellaliant.net and bloveless@bellaliant.net</t>
  </si>
  <si>
    <t>joannemajor@rocketmail.com</t>
  </si>
  <si>
    <t>3 Sep to 17 Sep</t>
  </si>
  <si>
    <t>hilary_heyworth@hotmail.com</t>
  </si>
  <si>
    <t>Hilary and Dave Heyworth</t>
  </si>
  <si>
    <t>13 jan to 24  January</t>
  </si>
  <si>
    <t>21 Sep to 5 Oct</t>
  </si>
  <si>
    <t>A/D/F1/B/F2/T/GOT REVIEW</t>
  </si>
  <si>
    <t>6 Oct to 13 Oct</t>
  </si>
  <si>
    <t>11 May to 18 May</t>
  </si>
  <si>
    <t>3 adults</t>
  </si>
  <si>
    <t>paula.mcbride@ucd.ie</t>
  </si>
  <si>
    <t>Paula Mcbride</t>
  </si>
  <si>
    <t>robert solloway</t>
  </si>
  <si>
    <t>rob.solloway@talktalk.net</t>
  </si>
  <si>
    <t>21 Aug to 28 Aug</t>
  </si>
  <si>
    <t>4 Inc 1 child</t>
  </si>
  <si>
    <t xml:space="preserve">Edward Daw </t>
  </si>
  <si>
    <t>edaw2@cogeco.ca</t>
  </si>
  <si>
    <t>HA</t>
  </si>
  <si>
    <t>1 Mar to 31 Mar</t>
  </si>
  <si>
    <t>2 adults</t>
  </si>
  <si>
    <t>Jan Svensson</t>
  </si>
  <si>
    <t>rubarth@telia.com</t>
  </si>
  <si>
    <t>9 Nov to 20 Dec</t>
  </si>
  <si>
    <t>A/D/F1/B/F2/T Pains in  the ass</t>
  </si>
  <si>
    <t>ronnie.moyle@virgin.net &lt;-- no longer good after 5-Jul --&gt; after that ronnie.moyle@gmail.com</t>
  </si>
  <si>
    <t>WAS</t>
  </si>
  <si>
    <t>Maura Nobre</t>
  </si>
  <si>
    <t>balletslippers29</t>
  </si>
  <si>
    <t>Oct 26 to 9 Nov</t>
  </si>
  <si>
    <t>A/D/F1/B/F2/T DONE to friends</t>
  </si>
  <si>
    <t>A/D/F1/B/F2/RTINFO</t>
  </si>
  <si>
    <t>A/D/F1/B/F2/RTRANSFER INFO</t>
  </si>
  <si>
    <t>Lesly Loney</t>
  </si>
  <si>
    <t>loneyl14@hotmail.com</t>
  </si>
  <si>
    <t>4 adults</t>
  </si>
  <si>
    <t>Aug 28 to Sep 3</t>
  </si>
  <si>
    <t>David Tobin</t>
  </si>
  <si>
    <t>tobindonny@hotmail.com</t>
  </si>
  <si>
    <t>3 inc 0 children</t>
  </si>
  <si>
    <t>14 Oct to 21 Oct</t>
  </si>
  <si>
    <t>raymondlaverty@onetel.com</t>
  </si>
  <si>
    <t>Raymond Laverty</t>
  </si>
  <si>
    <t>A/D/F1/BF2/T</t>
  </si>
  <si>
    <t>A/D/F1/B/F2/T/RR</t>
  </si>
  <si>
    <t>A/D/F1/B/F2 /T DONE      ...TROUBLE WITH TRANSFER!!!  Bank transferd 482 by erro made ajustment to balanmce/B/F2</t>
  </si>
  <si>
    <t>gillianlinke6@gmail.com     OLD ONE WAS gillianlinke@biscituk.com</t>
  </si>
  <si>
    <t>wallywoliveruk@aol.com</t>
  </si>
  <si>
    <t>Wally w oliver</t>
  </si>
  <si>
    <t>Sep 22 to Oct 1</t>
  </si>
  <si>
    <r>
      <t>Jo &amp; Bryan Major</t>
    </r>
    <r>
      <rPr>
        <b/>
        <sz val="12"/>
        <color rgb="FFFF0000"/>
        <rFont val="Times New Roman"/>
        <family val="1"/>
      </rPr>
      <t xml:space="preserve"> (HOLD 94 EUROS FROM BREAKAGE FOR EXTRA NIGHTS STAY… DID NOT JUST GAVE IT TO THEM)</t>
    </r>
  </si>
  <si>
    <t>A/D/F1/B/F2/RR/T DONE</t>
  </si>
  <si>
    <t>sueanddavid@live.co.uk</t>
  </si>
  <si>
    <t>2 adults 1 child</t>
  </si>
  <si>
    <t>4 Oct ro 12 Oct</t>
  </si>
  <si>
    <t>René Perreault</t>
  </si>
  <si>
    <t>renegperreault@mymts.net</t>
  </si>
  <si>
    <t>VB</t>
  </si>
  <si>
    <t>Feb 6 to Feb 27</t>
  </si>
  <si>
    <t>Danielle Layland</t>
  </si>
  <si>
    <t>dlayland5@gmail.com</t>
  </si>
  <si>
    <t xml:space="preserve">29 Dec to 4 Jan </t>
  </si>
  <si>
    <t>rick walsh</t>
  </si>
  <si>
    <t>Clean 3RD SATURDAY OF EACH MONTH.</t>
  </si>
  <si>
    <t>A/D/F1/B/F2/RR+TINFO</t>
  </si>
  <si>
    <t>TECWYN THOMAS</t>
  </si>
  <si>
    <t>tecwynl@yahoo.co.uk</t>
  </si>
  <si>
    <t>14 Sept to 21 Sept</t>
  </si>
  <si>
    <t>Sep 7 to Sep 14</t>
  </si>
  <si>
    <t>ronnie.moyle@gmail.com</t>
  </si>
  <si>
    <t>12 oct to 26 Oct</t>
  </si>
  <si>
    <t>Taryn Reid (booked by Thompson)</t>
  </si>
  <si>
    <t>ktthompson@persona.ca</t>
  </si>
  <si>
    <t>Jan 22 to Jan 27</t>
  </si>
  <si>
    <t>4 inc 1 child</t>
  </si>
  <si>
    <t>James Murphy</t>
  </si>
  <si>
    <t>jjm1861@comcast.net</t>
  </si>
  <si>
    <t>14 Apr to 19 Apr</t>
  </si>
  <si>
    <t>Laura Haskell</t>
  </si>
  <si>
    <t>2 to 9 July</t>
  </si>
  <si>
    <t>Done-8/9/2013</t>
  </si>
  <si>
    <t>A/D/F1/B/F2/RTinfo</t>
  </si>
  <si>
    <t>25 May to 2 June</t>
  </si>
  <si>
    <t>Peter Thomason</t>
  </si>
  <si>
    <t>robert.dixon13@btinternet.com</t>
  </si>
  <si>
    <t>peter@pjthomason.co.uk</t>
  </si>
  <si>
    <t>lhaskell@hotmail.com</t>
  </si>
  <si>
    <t>2 june to 17 june</t>
  </si>
  <si>
    <r>
      <t xml:space="preserve">robert dixon </t>
    </r>
    <r>
      <rPr>
        <b/>
        <sz val="11"/>
        <color rgb="FFFF0000"/>
        <rFont val="Calibri"/>
        <family val="2"/>
        <scheme val="minor"/>
      </rPr>
      <t>(RFUND ONLY 190E staying extra night)</t>
    </r>
  </si>
  <si>
    <r>
      <t>A/D/F1/B/F2/</t>
    </r>
    <r>
      <rPr>
        <sz val="11"/>
        <color rgb="FFFF0000"/>
        <rFont val="Calibri"/>
        <family val="2"/>
        <scheme val="minor"/>
      </rPr>
      <t>RR/T VIA PAYPAL US</t>
    </r>
  </si>
  <si>
    <t>2 aug to 16 aug</t>
  </si>
  <si>
    <t>andy.farmer5@btinternet.com</t>
  </si>
  <si>
    <t>Andy Farmer</t>
  </si>
  <si>
    <t>June 24 to  July 1</t>
  </si>
  <si>
    <t>Debra Sedlatschek</t>
  </si>
  <si>
    <t>b.sedlatschek@ntlworld.com</t>
  </si>
  <si>
    <t>Rosaleen Bollard</t>
  </si>
  <si>
    <t>rosaleenbollard@gmail.com</t>
  </si>
  <si>
    <t>18 to 24 May</t>
  </si>
  <si>
    <r>
      <t>April 1 to April 13</t>
    </r>
    <r>
      <rPr>
        <b/>
        <sz val="11"/>
        <rFont val="Calibri"/>
        <family val="2"/>
        <scheme val="minor"/>
      </rPr>
      <t xml:space="preserve"> Leaving AT 5PM</t>
    </r>
  </si>
  <si>
    <t>Rita Monaghan</t>
  </si>
  <si>
    <t>rita.monaghan@cie.ie</t>
  </si>
  <si>
    <t>22 to 29 Aug</t>
  </si>
  <si>
    <t>July 13 to July 25</t>
  </si>
  <si>
    <t>A/D/f1/B/F2/T</t>
  </si>
  <si>
    <t>DONE 7/20/2014</t>
  </si>
  <si>
    <r>
      <rPr>
        <b/>
        <sz val="11"/>
        <color rgb="FFFF0000"/>
        <rFont val="Calibri"/>
        <family val="2"/>
        <scheme val="minor"/>
      </rPr>
      <t xml:space="preserve">CHANGE DEC1 insted of Nov </t>
    </r>
    <r>
      <rPr>
        <sz val="11"/>
        <rFont val="Calibri"/>
        <family val="2"/>
        <scheme val="minor"/>
      </rPr>
      <t>1 to March 1</t>
    </r>
  </si>
  <si>
    <t>Alison Goodenough</t>
  </si>
  <si>
    <t>aligoodenough@ymail.com</t>
  </si>
  <si>
    <t>26 Oct to 1 Nov</t>
  </si>
  <si>
    <t xml:space="preserve">gillianlinke6@gmail.com </t>
  </si>
  <si>
    <t>Patricia Chediex</t>
  </si>
  <si>
    <t>patochediex@att.net</t>
  </si>
  <si>
    <t>Aug 17 to Aug 22</t>
  </si>
  <si>
    <t>A/D/B/F2/RTI+RKEEP BREAKAGE FOR NEXT DEPOSIT</t>
  </si>
  <si>
    <t>rj.w@aol.com    maureen7277@gmail.com</t>
  </si>
  <si>
    <t>A/D/F1/B/F2/RR+Tinfo</t>
  </si>
  <si>
    <t>a/D/F1/B/F2/T/ASSWHOLE SPANIDH</t>
  </si>
  <si>
    <t>Karen Pattison</t>
  </si>
  <si>
    <t>karen.pattison@nuffieldhealth.com</t>
  </si>
  <si>
    <t>30 Jul to Aug 9</t>
  </si>
  <si>
    <t>A/D/F1/B/F2/RTINFO + REVIEW</t>
  </si>
  <si>
    <r>
      <t>susan southwell</t>
    </r>
    <r>
      <rPr>
        <b/>
        <sz val="12"/>
        <color rgb="FFFF0000"/>
        <rFont val="Calibri"/>
        <family val="2"/>
        <scheme val="minor"/>
      </rPr>
      <t xml:space="preserve"> (keep breakage deposit toward next year)</t>
    </r>
  </si>
  <si>
    <t>Ronnie Moyle Ret clients</t>
  </si>
  <si>
    <t>A/D/F1/B/F2/T/GET RV NEED TO POST</t>
  </si>
  <si>
    <t>15 June to 22 june</t>
  </si>
  <si>
    <t xml:space="preserve">jk.watson@btinternet.com </t>
  </si>
  <si>
    <t>John Watson</t>
  </si>
  <si>
    <t>26 Sep to Oct 5 (CHANGE) Gave them 5 oct for free.</t>
  </si>
  <si>
    <t xml:space="preserve">deehulett@gmail.com </t>
  </si>
  <si>
    <t>3 Mar to 17 Mar</t>
  </si>
  <si>
    <t>Ian Hainsworth</t>
  </si>
  <si>
    <t>ian.hainsworth@btinternet.com</t>
  </si>
  <si>
    <t>August 23 to Sep 6</t>
  </si>
  <si>
    <t>2 Adults 2 children</t>
  </si>
  <si>
    <t>A/D/F1/B/f2</t>
  </si>
  <si>
    <t>Angela Tallott</t>
  </si>
  <si>
    <t>angelatallott@eircom.net</t>
  </si>
  <si>
    <t>21 Apr to 28 Apr</t>
  </si>
  <si>
    <t>elvira rego</t>
  </si>
  <si>
    <t>elvirahome@shaw.ca</t>
  </si>
  <si>
    <t>10 june to 14 june</t>
  </si>
  <si>
    <t>5 adults one baby</t>
  </si>
  <si>
    <t>Brian Brewster</t>
  </si>
  <si>
    <t>11 April to 18 April</t>
  </si>
  <si>
    <t>3 adults 2 childre</t>
  </si>
  <si>
    <t>Allen Chapman</t>
  </si>
  <si>
    <t xml:space="preserve">alleychap@sky.com </t>
  </si>
  <si>
    <t>susanjoycebrewster@hotmail.co.uk   simonvessey@sytner.co.uk</t>
  </si>
  <si>
    <t>jsprangr@aol.com</t>
  </si>
  <si>
    <t>Sptember 20 to 26</t>
  </si>
  <si>
    <t>September 6 to 18</t>
  </si>
  <si>
    <t>Allen chapman</t>
  </si>
  <si>
    <t>Alleychap@sky.com</t>
  </si>
  <si>
    <t>8 July to 17 July (actually leaving July 16 late)</t>
  </si>
  <si>
    <t>Greg Roche</t>
  </si>
  <si>
    <t>2 Jul to 8 Jul</t>
  </si>
  <si>
    <t>Terry Spranger (usa florida)</t>
  </si>
  <si>
    <t>roche.greg@gmail.com dan.lucas14@gmail.com</t>
  </si>
  <si>
    <t xml:space="preserve">Deanne Hulett </t>
  </si>
  <si>
    <t>Aug 9 to Aug 16</t>
  </si>
  <si>
    <t>Angela.meaney@ie.abb.com</t>
  </si>
  <si>
    <t>Angela Meaney</t>
  </si>
  <si>
    <t>2 adults 2 children</t>
  </si>
  <si>
    <t>A/D/F1/B/F2/T/RR--- stayed 1 month less, ADJUSTED AGREEMENT AND THIS SPREADSHEET</t>
  </si>
  <si>
    <t>3 may to 18 may</t>
  </si>
  <si>
    <t>Maralun Merrifield</t>
  </si>
  <si>
    <t>maralynmerrifield@hotmail.com</t>
  </si>
  <si>
    <t>21 to 28 July</t>
  </si>
  <si>
    <t>jennywilliams72@icloud.com</t>
  </si>
  <si>
    <t>Jenny Williams</t>
  </si>
  <si>
    <t>2 adults 23 children</t>
  </si>
  <si>
    <t>NIGHTS</t>
  </si>
  <si>
    <t>21 Mar to 1 Apr</t>
  </si>
  <si>
    <t>monkeythu@yahoo.co.uk</t>
  </si>
  <si>
    <t>18 May to 25 May</t>
  </si>
  <si>
    <t>r21hodgins@gmail.com</t>
  </si>
  <si>
    <t>Rita Hodgins</t>
  </si>
  <si>
    <r>
      <t>A/D/F1/B/F2/T</t>
    </r>
    <r>
      <rPr>
        <b/>
        <sz val="11"/>
        <color rgb="FFFF0000"/>
        <rFont val="Calibri"/>
        <family val="2"/>
        <scheme val="minor"/>
      </rPr>
      <t>/RR</t>
    </r>
  </si>
  <si>
    <t>Mandy Livingstone</t>
  </si>
  <si>
    <t>April 4 to April 9</t>
  </si>
  <si>
    <t>Clean Exit Only</t>
  </si>
  <si>
    <t>3 inc 2 children</t>
  </si>
  <si>
    <t>m17livingstone@yahoo.co.uk</t>
  </si>
  <si>
    <r>
      <t xml:space="preserve">A/D/F1/B/F2/RR/GOT IT </t>
    </r>
    <r>
      <rPr>
        <b/>
        <sz val="11"/>
        <color theme="1"/>
        <rFont val="Calibri"/>
        <family val="2"/>
        <scheme val="minor"/>
      </rPr>
      <t xml:space="preserve"> REFUND ONLY 200</t>
    </r>
  </si>
  <si>
    <t>daniellederam@yahoo.com</t>
  </si>
  <si>
    <t>Danielle Barnett</t>
  </si>
  <si>
    <t>Aug 16 to Aug 23</t>
  </si>
  <si>
    <t>5 adults</t>
  </si>
  <si>
    <t>A/D/F1/B/F2/ T</t>
  </si>
  <si>
    <t>??</t>
  </si>
  <si>
    <r>
      <t>Jonathan Turner</t>
    </r>
    <r>
      <rPr>
        <b/>
        <u/>
        <sz val="12"/>
        <color rgb="FFFF0000"/>
        <rFont val="Arial"/>
        <family val="2"/>
      </rPr>
      <t xml:space="preserve"> (REFUND ONLY 200)</t>
    </r>
  </si>
  <si>
    <t xml:space="preserve">A/D/F1/B/F2/T done   </t>
  </si>
  <si>
    <t>A/D/B/F2/T</t>
  </si>
  <si>
    <t>May 3 to May 13</t>
  </si>
  <si>
    <t>Michael accleton</t>
  </si>
  <si>
    <t>mickaccleton@icloud.com</t>
  </si>
  <si>
    <t>CHANGE OWNERS DIRECT TO PLATINUM IN DECEMBER</t>
  </si>
  <si>
    <t>A/D/F1/B/F2/ RR + Tinfp</t>
  </si>
  <si>
    <t>March 2 to March 31</t>
  </si>
  <si>
    <r>
      <t xml:space="preserve">Heather Smith </t>
    </r>
    <r>
      <rPr>
        <b/>
        <sz val="11"/>
        <color rgb="FFFF0000"/>
        <rFont val="Calibri"/>
        <family val="2"/>
        <scheme val="minor"/>
      </rPr>
      <t>MISTAKE DEPOSITED 622 when it should have been 632 NEW balance 1258</t>
    </r>
  </si>
  <si>
    <t>marianne.sjobergh@lamaro.se</t>
  </si>
  <si>
    <t>November 7 to 14</t>
  </si>
  <si>
    <r>
      <t>Marianne Sjoebergh (</t>
    </r>
    <r>
      <rPr>
        <sz val="12"/>
        <color rgb="FFFF0000"/>
        <rFont val="Calibri"/>
        <family val="2"/>
      </rPr>
      <t>Returning Guest</t>
    </r>
    <r>
      <rPr>
        <sz val="12"/>
        <color rgb="FF000000"/>
        <rFont val="Calibri"/>
        <family val="2"/>
      </rPr>
      <t>)</t>
    </r>
  </si>
  <si>
    <t>geoff@pomfs.co.uk</t>
  </si>
  <si>
    <t>geoff Hill</t>
  </si>
  <si>
    <t>January 7 to April 8</t>
  </si>
  <si>
    <t>Cathy and Steve Warren</t>
  </si>
  <si>
    <t>cswarren10@gmail.com</t>
  </si>
  <si>
    <t>13-Nov--16</t>
  </si>
  <si>
    <r>
      <t>Clean</t>
    </r>
    <r>
      <rPr>
        <b/>
        <sz val="11"/>
        <color rgb="FFFF0000"/>
        <rFont val="Calibri"/>
        <family val="2"/>
        <scheme val="minor"/>
      </rPr>
      <t xml:space="preserve"> Every 3 weeks</t>
    </r>
  </si>
  <si>
    <t>July 6 to July 13</t>
  </si>
  <si>
    <t>rj_bain@hotmail.com</t>
  </si>
  <si>
    <t>4 adults 2 children</t>
  </si>
  <si>
    <t>25 Oct to Oct 31 CHANGE</t>
  </si>
  <si>
    <t>pauleboisvert@hotmail.com</t>
  </si>
  <si>
    <t>July 19 to Aug 2</t>
  </si>
  <si>
    <t xml:space="preserve">David Ryder </t>
  </si>
  <si>
    <t>david_ryder@talktalk.net</t>
  </si>
  <si>
    <t>oct 10 to 17</t>
  </si>
  <si>
    <t>Jennifer Laing</t>
  </si>
  <si>
    <t>jennifer@interventionrentals.com</t>
  </si>
  <si>
    <t>Aug 20 to Aug 30</t>
  </si>
  <si>
    <t>annabel.lansom@gmail.com</t>
  </si>
  <si>
    <t>Annabel Lansom</t>
  </si>
  <si>
    <t>A/D/F1/B/F2/T  also got review</t>
  </si>
  <si>
    <t>A/D/F1/B/F2/T DONE,  RR</t>
  </si>
  <si>
    <t>Aug 6 to 13</t>
  </si>
  <si>
    <t>Ajay Marwaha</t>
  </si>
  <si>
    <t>a_marwaha@hotmail.com</t>
  </si>
  <si>
    <t>A/D/F1/B/F2 WAITING ONM INFO</t>
  </si>
  <si>
    <t xml:space="preserve">A/D/F1/B/F2 r T InfoBALANCE WAS 911 BUT REDUCED by 94 BECAUSE CAME IN July </t>
  </si>
  <si>
    <t>January 27, to Feb 24 CHANGE</t>
  </si>
  <si>
    <t>April 13 to April 20</t>
  </si>
  <si>
    <t>kenmgraham@yahoo.co.uk</t>
  </si>
  <si>
    <t>Ken Graham</t>
  </si>
  <si>
    <t>Sept 19 to 26</t>
  </si>
  <si>
    <r>
      <t xml:space="preserve">susan southwell </t>
    </r>
    <r>
      <rPr>
        <b/>
        <sz val="12"/>
        <color rgb="FFFF0000"/>
        <rFont val="Arial"/>
        <family val="2"/>
      </rPr>
      <t>RC Kept breakage deposit as the deposit</t>
    </r>
  </si>
  <si>
    <r>
      <t xml:space="preserve">susan southwell  </t>
    </r>
    <r>
      <rPr>
        <b/>
        <sz val="12"/>
        <color rgb="FFFF0000"/>
        <rFont val="Arial"/>
        <family val="2"/>
      </rPr>
      <t>KEPT BREAKAGE FOR NEXT YEAR DEPOSIT</t>
    </r>
  </si>
  <si>
    <t>A/D/F1/B/F2 HAVING TROUBLE</t>
  </si>
  <si>
    <r>
      <t>A/D/F1/B/F2/T</t>
    </r>
    <r>
      <rPr>
        <b/>
        <sz val="11"/>
        <color rgb="FFFF0000"/>
        <rFont val="Calibri"/>
        <family val="2"/>
        <scheme val="minor"/>
      </rPr>
      <t xml:space="preserve">  RR</t>
    </r>
  </si>
  <si>
    <t>Graham Coulter</t>
  </si>
  <si>
    <t>gcoulter@sky.com</t>
  </si>
  <si>
    <t>November 15 to 20</t>
  </si>
  <si>
    <r>
      <t>Richard Bain</t>
    </r>
    <r>
      <rPr>
        <b/>
        <sz val="12"/>
        <color rgb="FFFF0000"/>
        <rFont val="Segoe UI"/>
        <family val="2"/>
      </rPr>
      <t xml:space="preserve"> (SETUP BABY BED ) mobile 00447734179755</t>
    </r>
  </si>
  <si>
    <t>jawb@rogers.com </t>
  </si>
  <si>
    <t>Jan 4 to Jan 17</t>
  </si>
  <si>
    <t>James A Brown (refund only 290 E as their bank charged us 10.  Send back deposit via PayPal… see emails)</t>
  </si>
  <si>
    <t xml:space="preserve">paule boisvert </t>
  </si>
  <si>
    <t>A /D/F1/B/f2T</t>
  </si>
  <si>
    <t>Max Caston</t>
  </si>
  <si>
    <t>max.caston@hotmail.co.uk</t>
  </si>
  <si>
    <t>May 30 to June 8</t>
  </si>
  <si>
    <t>Twyla Daly</t>
  </si>
  <si>
    <t>johnsonblayne@gmail.com</t>
  </si>
  <si>
    <t>Sep 6 to Sep 13</t>
  </si>
  <si>
    <t xml:space="preserve">peter bowden </t>
  </si>
  <si>
    <t>valhusky@hotmail.com</t>
  </si>
  <si>
    <t>May 14 to May 28</t>
  </si>
  <si>
    <t>a adults</t>
  </si>
  <si>
    <t xml:space="preserve">June 18 to June 25 </t>
  </si>
  <si>
    <t>Deirdre Whelan</t>
  </si>
  <si>
    <t>whelande1@gmail.com</t>
  </si>
  <si>
    <t>A/D/F1/B/F2/T via PayPal</t>
  </si>
  <si>
    <t>Janet Head</t>
  </si>
  <si>
    <t>rubyjan61@gmail.com</t>
  </si>
  <si>
    <t>Jun 28 to Jul 5</t>
  </si>
  <si>
    <t>Mar 1 to Mar 31</t>
  </si>
  <si>
    <t>eroche11@icloud.com</t>
  </si>
  <si>
    <t>terry.arthur.smith@gmail.com  while in PT use h945eather@gmail.com if needed tsmith@cogeco.ca</t>
  </si>
  <si>
    <t>A/D/F1/B/F2/T burnt out electrical with adapters</t>
  </si>
  <si>
    <t>Jul 13 to Jul 19</t>
  </si>
  <si>
    <t>Deb Zeids</t>
  </si>
  <si>
    <t>A/D/F1/B/F2 RR + T INFO</t>
  </si>
  <si>
    <t>Sept 2 to11</t>
  </si>
  <si>
    <t>A/D/F1/B/F2/Y</t>
  </si>
  <si>
    <t>Alexandra Coleman</t>
  </si>
  <si>
    <t>alexjandj@hotmail.co.uk</t>
  </si>
  <si>
    <t>August 2 to August 6</t>
  </si>
  <si>
    <t>1 adult 2 children</t>
  </si>
  <si>
    <t>A/D/F1/B/F2/RTINF</t>
  </si>
  <si>
    <t>Eoin Phelan</t>
  </si>
  <si>
    <t>eoinphelan@gmail.com</t>
  </si>
  <si>
    <t>Oct 3 to Oct 11</t>
  </si>
  <si>
    <t>Debbie OReilly</t>
  </si>
  <si>
    <t>debbie.oreilly78@gmail.com</t>
  </si>
  <si>
    <t>Aug 13 to Aug 20</t>
  </si>
  <si>
    <t>HRTA</t>
  </si>
  <si>
    <t>Oct 13 to Oct 27</t>
  </si>
  <si>
    <t>Wendy Moore</t>
  </si>
  <si>
    <t>jackowendy106@yahoo.co.uk</t>
  </si>
  <si>
    <t>Caroline Stoneham</t>
  </si>
  <si>
    <t>Aug 30 to Sep 6</t>
  </si>
  <si>
    <t>4 dults</t>
  </si>
  <si>
    <t>caroline_stoneham@yahoo.co.uk</t>
  </si>
  <si>
    <t>beverley.tarquini@fsmail.net</t>
  </si>
  <si>
    <t>Beverley Tarquini</t>
  </si>
  <si>
    <t>Sep 13 to Sep 17</t>
  </si>
  <si>
    <t>HR/RC</t>
  </si>
  <si>
    <t>July 25 to Aug 8</t>
  </si>
  <si>
    <t>August 16, to Aug 30</t>
  </si>
  <si>
    <t>A/S/F1/B/F2/T</t>
  </si>
  <si>
    <t>Jun 12 to June 20</t>
  </si>
  <si>
    <t>brencoll@westnet.com.au</t>
  </si>
  <si>
    <t>Brendan Collins</t>
  </si>
  <si>
    <t>2 adults (love golf)</t>
  </si>
  <si>
    <t>Jul 3 to Jul 17</t>
  </si>
  <si>
    <t>John Ewing</t>
  </si>
  <si>
    <t>jre00001@gmail.com</t>
  </si>
  <si>
    <t>A/D/B/F2</t>
  </si>
  <si>
    <r>
      <t xml:space="preserve">A/D/B/F2 </t>
    </r>
    <r>
      <rPr>
        <sz val="11"/>
        <color rgb="FFFF0000"/>
        <rFont val="Calibri"/>
        <family val="2"/>
        <scheme val="minor"/>
      </rPr>
      <t>CANADIAN</t>
    </r>
    <r>
      <rPr>
        <sz val="11"/>
        <rFont val="Calibri"/>
        <family val="2"/>
        <scheme val="minor"/>
      </rPr>
      <t>…  NEED I SAY MORE, did the transfer, lets see if it works</t>
    </r>
  </si>
  <si>
    <t>A/D/f1/B/F2/T/RR</t>
  </si>
  <si>
    <t>Sep 16, to Sep 29</t>
  </si>
  <si>
    <t>vival@sky.com</t>
  </si>
  <si>
    <t>Alan Watson</t>
  </si>
  <si>
    <t>`</t>
  </si>
  <si>
    <t>June 20 to Jul 3</t>
  </si>
  <si>
    <t>3 of us</t>
  </si>
  <si>
    <t>shirley snape</t>
  </si>
  <si>
    <t>shirleynkeith.snape@ntlworld.com</t>
  </si>
  <si>
    <t>Nov 5 to 12</t>
  </si>
  <si>
    <t>April 9 to April 16</t>
  </si>
  <si>
    <t>2 adults 2 kids</t>
  </si>
  <si>
    <t>Barnbara Collison</t>
  </si>
  <si>
    <t>hutchbarb@hotmail.com</t>
  </si>
  <si>
    <t>8-Feb--17</t>
  </si>
  <si>
    <t>April 25 to May 9</t>
  </si>
  <si>
    <t>ANTHONY HADAWAY</t>
  </si>
  <si>
    <t>hadaway964@btinternet.com</t>
  </si>
  <si>
    <t>normandylass@yahoo.co.uk</t>
  </si>
  <si>
    <t>1 Adult 4 kids</t>
  </si>
  <si>
    <r>
      <t>Nicola Parkin (</t>
    </r>
    <r>
      <rPr>
        <sz val="12"/>
        <color rgb="FFFF0000"/>
        <rFont val="Arial"/>
        <family val="2"/>
      </rPr>
      <t>SETUP TRUNDLES</t>
    </r>
    <r>
      <rPr>
        <sz val="12"/>
        <color theme="1"/>
        <rFont val="Arial"/>
        <family val="2"/>
      </rPr>
      <t>)</t>
    </r>
  </si>
  <si>
    <r>
      <t xml:space="preserve">4 adults 2 children </t>
    </r>
    <r>
      <rPr>
        <b/>
        <sz val="11"/>
        <color rgb="FFFF0000"/>
        <rFont val="Calibri"/>
        <family val="2"/>
        <scheme val="minor"/>
      </rPr>
      <t>SETUP SOFAS</t>
    </r>
  </si>
  <si>
    <t>May 26 to June 2</t>
  </si>
  <si>
    <t>sjwh@doctors.org.uk</t>
  </si>
  <si>
    <t>Sarah Hughes</t>
  </si>
  <si>
    <t>August 8 to 16</t>
  </si>
  <si>
    <t>katharine_yates@hotmail.co.uk</t>
  </si>
  <si>
    <t>Katharine Yates</t>
  </si>
  <si>
    <t>Oct 14 to oct 21</t>
  </si>
  <si>
    <t>cwilliamscahir@gmail.com  353 86 389 4579</t>
  </si>
  <si>
    <r>
      <t xml:space="preserve">Caroline William  </t>
    </r>
    <r>
      <rPr>
        <b/>
        <sz val="12"/>
        <color rgb="FFFF0000"/>
        <rFont val="Arial"/>
        <family val="2"/>
      </rPr>
      <t>SETUP TWO (2) BABY COTS.. May need to rent one</t>
    </r>
  </si>
  <si>
    <t>A/D/F1/B/F2TDONE</t>
  </si>
  <si>
    <t xml:space="preserve">April 6 to May 11 </t>
  </si>
  <si>
    <t>linkdado@icloud.com   cavon@cogeco.ca</t>
  </si>
  <si>
    <t xml:space="preserve">Jan 9 to Jan 31 </t>
  </si>
  <si>
    <t>Gale Gidden</t>
  </si>
  <si>
    <r>
      <t xml:space="preserve">Wayne Thomas </t>
    </r>
    <r>
      <rPr>
        <b/>
        <sz val="12"/>
        <color rgb="FFFF0000"/>
        <rFont val="Arial"/>
        <family val="2"/>
      </rPr>
      <t>had to drop one night 34 instead of 35</t>
    </r>
  </si>
  <si>
    <t>/A/D/F1/B/F2/T</t>
  </si>
  <si>
    <t xml:space="preserve">Louise Dickinson </t>
  </si>
  <si>
    <t>Feb 1 to Feb 28</t>
  </si>
  <si>
    <t>rogercleves@btinternet.com</t>
  </si>
  <si>
    <t>jan-4-2018</t>
  </si>
  <si>
    <t>Jul 18 to Jul 23</t>
  </si>
  <si>
    <t>Julia Yalizerov</t>
  </si>
  <si>
    <t>only4myview@gmail.com</t>
  </si>
  <si>
    <t>A/D/B--SEND F2 when closer SENT</t>
  </si>
  <si>
    <t>Louise_ian@hotmail.co.uk   ian.dickinson@barclays.com</t>
  </si>
  <si>
    <t>A/D/F2/T</t>
  </si>
  <si>
    <t>Roger Cleves</t>
  </si>
  <si>
    <t>September 1 to Spetember 10</t>
  </si>
  <si>
    <t>July-7-2018</t>
  </si>
  <si>
    <t>Christine Sandwell</t>
  </si>
  <si>
    <t>chris_sandwell@hotmail.com</t>
  </si>
  <si>
    <t>October 2 to 10</t>
  </si>
  <si>
    <t>2adults</t>
  </si>
  <si>
    <t>FHOD</t>
  </si>
  <si>
    <t>August 25, to Sep 1</t>
  </si>
  <si>
    <t>June-30-18</t>
  </si>
  <si>
    <r>
      <t xml:space="preserve">Katharine Yates </t>
    </r>
    <r>
      <rPr>
        <b/>
        <sz val="11"/>
        <color rgb="FFFF0000"/>
        <rFont val="Calibri"/>
        <family val="2"/>
        <scheme val="minor"/>
      </rPr>
      <t>RC</t>
    </r>
    <r>
      <rPr>
        <sz val="11"/>
        <rFont val="Calibri"/>
        <family val="2"/>
        <scheme val="minor"/>
      </rPr>
      <t xml:space="preserve"> NEED TO SEND INVOICE AND AGREEMENt</t>
    </r>
  </si>
  <si>
    <r>
      <t xml:space="preserve">Dec </t>
    </r>
    <r>
      <rPr>
        <b/>
        <sz val="14"/>
        <color rgb="FFFF0000"/>
        <rFont val="Calibri"/>
        <family val="2"/>
        <scheme val="minor"/>
      </rPr>
      <t xml:space="preserve">19 </t>
    </r>
    <r>
      <rPr>
        <sz val="11"/>
        <rFont val="Calibri"/>
        <family val="2"/>
        <scheme val="minor"/>
      </rPr>
      <t>to Dec 30 (WAS GOING TO Lous)</t>
    </r>
  </si>
  <si>
    <t>Moira Calinski</t>
  </si>
  <si>
    <t>moymoy51@hotmail.co.uk</t>
  </si>
  <si>
    <t>March-28-18</t>
  </si>
  <si>
    <t>…….PAID  Dec-3-17</t>
  </si>
  <si>
    <t>Liz Dodd</t>
  </si>
  <si>
    <t>liz.dodd.66@gmail.com  44 7810 795820</t>
  </si>
  <si>
    <t>Jun 19 to June 26</t>
  </si>
  <si>
    <t>April-20</t>
  </si>
  <si>
    <r>
      <t xml:space="preserve">May 23 to </t>
    </r>
    <r>
      <rPr>
        <b/>
        <sz val="14"/>
        <color rgb="FFFF0000"/>
        <rFont val="Calibri"/>
        <family val="2"/>
        <scheme val="minor"/>
      </rPr>
      <t>June 11. added 3 nights but not on HA platfomr</t>
    </r>
  </si>
  <si>
    <t>Alan Brady</t>
  </si>
  <si>
    <t>pajbrady@hotmail.com   353 87 060 1531</t>
  </si>
  <si>
    <t>May-13-18</t>
  </si>
  <si>
    <r>
      <t>July 12 to July 2</t>
    </r>
    <r>
      <rPr>
        <sz val="11"/>
        <color rgb="FFFF0000"/>
        <rFont val="Calibri"/>
        <family val="2"/>
        <scheme val="minor"/>
      </rPr>
      <t>7 added an extra day for 150E</t>
    </r>
  </si>
  <si>
    <t>August 11, to August 18</t>
  </si>
  <si>
    <t>Carsten Eine</t>
  </si>
  <si>
    <t>eine@familie.tele.dk  45 23 20 55 44</t>
  </si>
  <si>
    <t>june-12</t>
  </si>
  <si>
    <t>giddengale@gmail.com  galeg@bell.net</t>
  </si>
  <si>
    <t>Malcolm Gadd</t>
  </si>
  <si>
    <t>m.s.gadd@btinternet.com</t>
  </si>
  <si>
    <t>May 11 to May 23</t>
  </si>
  <si>
    <t>March 12-18</t>
  </si>
  <si>
    <t>August 18 to 25</t>
  </si>
  <si>
    <t>pjcahill@btinternet.com 44 7977 272153</t>
  </si>
  <si>
    <t>Paul Cahill</t>
  </si>
  <si>
    <t>July 27 to August 6</t>
  </si>
  <si>
    <t>2 adults 1 kid</t>
  </si>
  <si>
    <t>acrichardson1980@googlemail.com</t>
  </si>
  <si>
    <t>May-28-18</t>
  </si>
  <si>
    <r>
      <t>Alison Gillard (</t>
    </r>
    <r>
      <rPr>
        <b/>
        <sz val="11"/>
        <color rgb="FFFF0000"/>
        <rFont val="Calibri"/>
        <family val="2"/>
        <scheme val="minor"/>
      </rPr>
      <t>sent 2 deposits, balance is only 303</t>
    </r>
    <r>
      <rPr>
        <sz val="11"/>
        <color theme="1"/>
        <rFont val="Calibri"/>
        <family val="2"/>
        <scheme val="minor"/>
      </rPr>
      <t>)</t>
    </r>
  </si>
  <si>
    <t>paid</t>
  </si>
  <si>
    <r>
      <t xml:space="preserve">Elizabeth Roche </t>
    </r>
    <r>
      <rPr>
        <b/>
        <sz val="11"/>
        <color rgb="FFFF0000"/>
        <rFont val="Calibri"/>
        <family val="2"/>
        <scheme val="minor"/>
      </rPr>
      <t>SENT WRONG AMOUNT HOLD BACK 110 euros refund only 190  UNLESS SHE WIRED THE REST OF THE MONEY</t>
    </r>
  </si>
  <si>
    <t xml:space="preserve">          +44 07824 375115</t>
  </si>
  <si>
    <t>Alisonwinder67@sky.com           44 07824 375115</t>
  </si>
  <si>
    <t>Alison Winder</t>
  </si>
  <si>
    <t>6 women</t>
  </si>
  <si>
    <t>July 15-18</t>
  </si>
  <si>
    <t xml:space="preserve"> </t>
  </si>
  <si>
    <t>Stan Linehan</t>
  </si>
  <si>
    <t>stanlinehan40@gmail.com 353 863289931</t>
  </si>
  <si>
    <t>June 27 to July 11</t>
  </si>
  <si>
    <t>2 adults 3 kids</t>
  </si>
  <si>
    <t>May-2-19</t>
  </si>
  <si>
    <t>Sept 13 to 17</t>
  </si>
  <si>
    <t>October 6 to 11</t>
  </si>
  <si>
    <t>4 women</t>
  </si>
  <si>
    <t>Hazel Pearce</t>
  </si>
  <si>
    <t>h_pearce1@sky.com     44 07557 273391</t>
  </si>
  <si>
    <t>july-8-18</t>
  </si>
  <si>
    <t>July 5 to July 12</t>
  </si>
  <si>
    <t>Ray Cullinane</t>
  </si>
  <si>
    <t>r.cullinane@epa.ie  353 0876783988</t>
  </si>
  <si>
    <t>May-6-18</t>
  </si>
  <si>
    <t>sakada777@yahoo.no</t>
  </si>
  <si>
    <t>2 dults 3 kids</t>
  </si>
  <si>
    <t>Apr-27-18</t>
  </si>
  <si>
    <t>June 12 to June 19</t>
  </si>
  <si>
    <t>alansheridan1234@gmail.com</t>
  </si>
  <si>
    <t>Alan Sheridan</t>
  </si>
  <si>
    <t>A/D/F1/B/F2/ RTINFO+REVIEW</t>
  </si>
  <si>
    <t>September 19, to 24</t>
  </si>
  <si>
    <t>4 adults 1 child</t>
  </si>
  <si>
    <t>xby@talktalk.ne</t>
  </si>
  <si>
    <t>Malcolm Smith</t>
  </si>
  <si>
    <r>
      <rPr>
        <b/>
        <sz val="11"/>
        <color rgb="FFFF0000"/>
        <rFont val="Calibri"/>
        <family val="2"/>
        <scheme val="minor"/>
      </rPr>
      <t xml:space="preserve">CANCELED </t>
    </r>
    <r>
      <rPr>
        <sz val="11"/>
        <rFont val="Calibri"/>
        <family val="2"/>
        <scheme val="minor"/>
      </rPr>
      <t>Viktorija Skalleberg</t>
    </r>
  </si>
  <si>
    <r>
      <rPr>
        <b/>
        <sz val="11"/>
        <color rgb="FFFF0000"/>
        <rFont val="Calibri"/>
        <family val="2"/>
        <scheme val="minor"/>
      </rPr>
      <t>CANCELED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June 26 to July 3</t>
    </r>
  </si>
  <si>
    <t/>
  </si>
  <si>
    <t>Aug 6 to 11</t>
  </si>
  <si>
    <t>Jessica Truong</t>
  </si>
  <si>
    <t>jess.truong14@gmail.com  44 7470186672</t>
  </si>
  <si>
    <t>A/D/F1/B/F2 RTINFO</t>
  </si>
  <si>
    <t>A/D/F1/F@/T</t>
  </si>
  <si>
    <t>A/D/F1/B/F2/Tdone</t>
  </si>
  <si>
    <t>CANCELED BECAUSE WE SOLD THE PLACE.</t>
  </si>
  <si>
    <t>REFUNDED DUE TO SALE</t>
  </si>
  <si>
    <t>INV</t>
  </si>
  <si>
    <t>Got back</t>
  </si>
  <si>
    <t>profit</t>
  </si>
  <si>
    <t>bout 2% per year</t>
  </si>
  <si>
    <t>saved</t>
  </si>
  <si>
    <t>in $$s</t>
  </si>
  <si>
    <t xml:space="preserve"> Per year</t>
  </si>
  <si>
    <t>per yr 8 years</t>
  </si>
  <si>
    <t>8yr expenses</t>
  </si>
  <si>
    <t>A//D/B/F2/T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</si>
</sst>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€-2]\ #,##0.00"/>
  </numFmts>
  <fonts count="58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  <scheme val="minor"/>
    </font>
    <font>
      <sz val="12"/>
      <color rgb="FF2A2A2A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egoe UI"/>
      <family val="2"/>
    </font>
    <font>
      <sz val="12"/>
      <color rgb="FF2A2A2A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</font>
    <font>
      <b/>
      <sz val="18"/>
      <color rgb="FFFF0000"/>
      <name val="Calibri"/>
      <family val="2"/>
      <scheme val="minor"/>
    </font>
    <font>
      <sz val="11"/>
      <color rgb="FF2A2A2A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2A2A2A"/>
      <name val="Segoe UI"/>
      <family val="2"/>
    </font>
    <font>
      <sz val="11"/>
      <color rgb="FF2A2A2A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sz val="10"/>
      <color rgb="FF2A2A2A"/>
      <name val="Calibri"/>
      <family val="2"/>
      <scheme val="minor"/>
    </font>
    <font>
      <sz val="10"/>
      <color theme="1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rgb="FF1F497D"/>
      <name val="Calibri"/>
      <family val="2"/>
    </font>
    <font>
      <sz val="12"/>
      <color rgb="FF000000"/>
      <name val="Times New Roman"/>
      <family val="1"/>
    </font>
    <font>
      <sz val="12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b/>
      <sz val="10"/>
      <color rgb="FFFF0000"/>
      <name val="Verdana"/>
      <family val="2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Segoe UI"/>
      <family val="2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333333"/>
      <name val="Arial"/>
      <family val="2"/>
    </font>
    <font>
      <b/>
      <u/>
      <sz val="12"/>
      <color rgb="FFFF0000"/>
      <name val="Arial"/>
      <family val="2"/>
    </font>
    <font>
      <sz val="11"/>
      <color rgb="FF333333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Segoe UI"/>
      <family val="2"/>
    </font>
    <font>
      <b/>
      <sz val="12"/>
      <color rgb="FFFF0000"/>
      <name val="Segoe UI"/>
      <family val="2"/>
    </font>
    <font>
      <b/>
      <sz val="12"/>
      <color rgb="FFFF0000"/>
      <name val="Arial"/>
      <family val="2"/>
    </font>
    <font>
      <sz val="10.5"/>
      <color rgb="FF333333"/>
      <name val="Arial"/>
      <family val="2"/>
    </font>
    <font>
      <sz val="11"/>
      <color rgb="FF333333"/>
      <name val="Arial"/>
      <family val="2"/>
    </font>
    <font>
      <sz val="11"/>
      <color rgb="FF2C2C2C"/>
      <name val="Arial"/>
      <family val="2"/>
    </font>
    <font>
      <sz val="20"/>
      <color rgb="FFFF0000"/>
      <name val="Arial"/>
      <family val="2"/>
    </font>
    <font>
      <b/>
      <sz val="14"/>
      <color rgb="FFFF0000"/>
      <name val="Calibri"/>
      <family val="2"/>
      <scheme val="minor"/>
    </font>
    <font>
      <sz val="8"/>
      <color rgb="FF333333"/>
      <name val="Arial"/>
      <family val="2"/>
    </font>
    <font>
      <sz val="11"/>
      <color rgb="FF333333"/>
      <name val="Cambria"/>
      <family val="1"/>
      <scheme val="major"/>
    </font>
    <font>
      <sz val="11"/>
      <color rgb="FF333333"/>
      <name val="Cambri"/>
    </font>
    <font>
      <sz val="11"/>
      <color rgb="FF353E44"/>
      <name val="Cambri"/>
    </font>
    <font>
      <b/>
      <sz val="20"/>
      <color rgb="FFFF0000"/>
      <name val="Arial"/>
      <family val="2"/>
    </font>
    <font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CCD9E2"/>
      </bottom>
      <diagonal/>
    </border>
    <border>
      <left/>
      <right/>
      <top/>
      <bottom style="dotted">
        <color rgb="FFD4D4D4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horizontal="right"/>
    </xf>
    <xf numFmtId="10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9" fillId="0" borderId="0" xfId="0" applyFont="1"/>
    <xf numFmtId="0" fontId="0" fillId="2" borderId="0" xfId="0" applyFill="1"/>
    <xf numFmtId="0" fontId="0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left"/>
    </xf>
    <xf numFmtId="0" fontId="2" fillId="2" borderId="0" xfId="0" applyFont="1" applyFill="1"/>
    <xf numFmtId="0" fontId="0" fillId="2" borderId="0" xfId="0" applyFill="1" applyAlignment="1">
      <alignment horizontal="right"/>
    </xf>
    <xf numFmtId="16" fontId="0" fillId="2" borderId="0" xfId="0" applyNumberFormat="1" applyFill="1" applyAlignment="1">
      <alignment horizontal="right"/>
    </xf>
    <xf numFmtId="0" fontId="1" fillId="2" borderId="0" xfId="0" applyFont="1" applyFill="1" applyAlignment="1">
      <alignment horizontal="right"/>
    </xf>
    <xf numFmtId="0" fontId="10" fillId="3" borderId="0" xfId="0" applyFont="1" applyFill="1"/>
    <xf numFmtId="0" fontId="3" fillId="3" borderId="0" xfId="0" applyFont="1" applyFill="1"/>
    <xf numFmtId="0" fontId="0" fillId="3" borderId="0" xfId="0" applyFont="1" applyFill="1"/>
    <xf numFmtId="0" fontId="0" fillId="3" borderId="0" xfId="0" applyFill="1"/>
    <xf numFmtId="0" fontId="0" fillId="3" borderId="0" xfId="0" applyFill="1" applyAlignment="1">
      <alignment horizontal="left"/>
    </xf>
    <xf numFmtId="0" fontId="2" fillId="3" borderId="0" xfId="0" applyFont="1" applyFill="1"/>
    <xf numFmtId="0" fontId="0" fillId="3" borderId="0" xfId="0" applyFill="1" applyAlignment="1">
      <alignment horizontal="right"/>
    </xf>
    <xf numFmtId="16" fontId="0" fillId="3" borderId="0" xfId="0" applyNumberFormat="1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4" borderId="0" xfId="0" applyFill="1"/>
    <xf numFmtId="0" fontId="0" fillId="4" borderId="0" xfId="0" applyFont="1" applyFill="1"/>
    <xf numFmtId="0" fontId="3" fillId="4" borderId="0" xfId="0" applyFont="1" applyFill="1"/>
    <xf numFmtId="0" fontId="0" fillId="4" borderId="0" xfId="0" applyFill="1" applyAlignment="1">
      <alignment horizontal="left"/>
    </xf>
    <xf numFmtId="0" fontId="2" fillId="4" borderId="0" xfId="0" applyFont="1" applyFill="1"/>
    <xf numFmtId="0" fontId="0" fillId="4" borderId="0" xfId="0" applyFill="1" applyAlignment="1">
      <alignment horizontal="right"/>
    </xf>
    <xf numFmtId="16" fontId="0" fillId="4" borderId="0" xfId="0" applyNumberFormat="1" applyFill="1" applyAlignment="1">
      <alignment horizontal="right"/>
    </xf>
    <xf numFmtId="0" fontId="1" fillId="4" borderId="0" xfId="0" applyFont="1" applyFill="1" applyAlignment="1">
      <alignment horizontal="right"/>
    </xf>
    <xf numFmtId="0" fontId="0" fillId="5" borderId="0" xfId="0" applyFill="1"/>
    <xf numFmtId="0" fontId="0" fillId="5" borderId="0" xfId="0" applyFont="1" applyFill="1"/>
    <xf numFmtId="0" fontId="3" fillId="5" borderId="0" xfId="0" applyFont="1" applyFill="1"/>
    <xf numFmtId="0" fontId="0" fillId="5" borderId="0" xfId="0" applyFill="1" applyAlignment="1">
      <alignment horizontal="left"/>
    </xf>
    <xf numFmtId="0" fontId="2" fillId="5" borderId="0" xfId="0" applyFont="1" applyFill="1"/>
    <xf numFmtId="0" fontId="1" fillId="5" borderId="0" xfId="0" applyFont="1" applyFill="1" applyAlignment="1">
      <alignment horizontal="right"/>
    </xf>
    <xf numFmtId="0" fontId="0" fillId="5" borderId="0" xfId="0" applyFill="1" applyAlignment="1">
      <alignment horizontal="right"/>
    </xf>
    <xf numFmtId="16" fontId="0" fillId="5" borderId="0" xfId="0" applyNumberFormat="1" applyFill="1" applyAlignment="1">
      <alignment horizontal="right"/>
    </xf>
    <xf numFmtId="0" fontId="0" fillId="6" borderId="0" xfId="0" applyFill="1" applyAlignment="1">
      <alignment horizontal="right"/>
    </xf>
    <xf numFmtId="0" fontId="11" fillId="0" borderId="0" xfId="0" applyFont="1"/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top"/>
    </xf>
    <xf numFmtId="16" fontId="0" fillId="0" borderId="0" xfId="0" applyNumberFormat="1" applyFill="1" applyAlignment="1">
      <alignment horizontal="right"/>
    </xf>
    <xf numFmtId="0" fontId="0" fillId="0" borderId="0" xfId="0" applyFill="1"/>
    <xf numFmtId="0" fontId="0" fillId="0" borderId="0" xfId="0" applyFont="1" applyFill="1"/>
    <xf numFmtId="0" fontId="0" fillId="0" borderId="0" xfId="0" applyFill="1" applyAlignment="1">
      <alignment horizontal="left"/>
    </xf>
    <xf numFmtId="0" fontId="2" fillId="0" borderId="0" xfId="0" applyFont="1" applyFill="1"/>
    <xf numFmtId="0" fontId="0" fillId="0" borderId="0" xfId="0" applyFill="1" applyAlignment="1">
      <alignment horizontal="right"/>
    </xf>
    <xf numFmtId="0" fontId="16" fillId="0" borderId="0" xfId="0" applyFont="1"/>
    <xf numFmtId="0" fontId="15" fillId="0" borderId="0" xfId="0" applyFont="1" applyFill="1"/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17" fillId="0" borderId="0" xfId="0" applyFont="1"/>
    <xf numFmtId="16" fontId="0" fillId="0" borderId="0" xfId="0" applyNumberFormat="1" applyAlignment="1">
      <alignment horizontal="left"/>
    </xf>
    <xf numFmtId="0" fontId="18" fillId="0" borderId="0" xfId="0" applyFont="1"/>
    <xf numFmtId="0" fontId="1" fillId="7" borderId="0" xfId="0" applyFont="1" applyFill="1" applyAlignment="1">
      <alignment horizontal="left"/>
    </xf>
    <xf numFmtId="0" fontId="20" fillId="8" borderId="0" xfId="0" applyFont="1" applyFill="1"/>
    <xf numFmtId="0" fontId="11" fillId="0" borderId="0" xfId="0" applyFont="1" applyFill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3" fillId="6" borderId="0" xfId="0" applyFont="1" applyFill="1" applyAlignment="1">
      <alignment horizontal="right"/>
    </xf>
    <xf numFmtId="0" fontId="0" fillId="9" borderId="0" xfId="0" applyFill="1"/>
    <xf numFmtId="0" fontId="0" fillId="9" borderId="0" xfId="0" applyFont="1" applyFill="1"/>
    <xf numFmtId="0" fontId="3" fillId="9" borderId="0" xfId="0" applyFont="1" applyFill="1"/>
    <xf numFmtId="0" fontId="0" fillId="9" borderId="0" xfId="0" applyFill="1" applyAlignment="1">
      <alignment horizontal="left"/>
    </xf>
    <xf numFmtId="0" fontId="2" fillId="9" borderId="0" xfId="0" applyFont="1" applyFill="1"/>
    <xf numFmtId="0" fontId="1" fillId="9" borderId="0" xfId="0" applyFont="1" applyFill="1" applyAlignment="1">
      <alignment horizontal="right"/>
    </xf>
    <xf numFmtId="0" fontId="0" fillId="9" borderId="0" xfId="0" applyFill="1" applyAlignment="1">
      <alignment horizontal="right"/>
    </xf>
    <xf numFmtId="0" fontId="10" fillId="9" borderId="0" xfId="0" applyFont="1" applyFill="1"/>
    <xf numFmtId="0" fontId="0" fillId="0" borderId="0" xfId="0" applyFont="1" applyAlignment="1">
      <alignment horizontal="left"/>
    </xf>
    <xf numFmtId="0" fontId="0" fillId="6" borderId="0" xfId="0" applyFont="1" applyFill="1" applyAlignment="1">
      <alignment horizontal="right"/>
    </xf>
    <xf numFmtId="0" fontId="11" fillId="0" borderId="0" xfId="0" applyFont="1" applyFill="1"/>
    <xf numFmtId="0" fontId="0" fillId="0" borderId="0" xfId="0" applyFont="1" applyFill="1" applyAlignment="1">
      <alignment horizontal="left"/>
    </xf>
    <xf numFmtId="0" fontId="11" fillId="7" borderId="0" xfId="0" applyFont="1" applyFill="1"/>
    <xf numFmtId="16" fontId="0" fillId="0" borderId="0" xfId="0" applyNumberFormat="1" applyFont="1" applyFill="1" applyAlignment="1">
      <alignment horizontal="right"/>
    </xf>
    <xf numFmtId="0" fontId="0" fillId="10" borderId="0" xfId="0" applyFill="1" applyAlignment="1">
      <alignment horizontal="left"/>
    </xf>
    <xf numFmtId="0" fontId="0" fillId="0" borderId="0" xfId="0" applyFill="1" applyAlignment="1"/>
    <xf numFmtId="0" fontId="25" fillId="0" borderId="0" xfId="0" applyFont="1" applyFill="1"/>
    <xf numFmtId="0" fontId="3" fillId="0" borderId="1" xfId="0" applyFont="1" applyFill="1" applyBorder="1" applyAlignment="1">
      <alignment wrapText="1"/>
    </xf>
    <xf numFmtId="0" fontId="17" fillId="0" borderId="0" xfId="0" applyFont="1" applyFill="1"/>
    <xf numFmtId="0" fontId="19" fillId="0" borderId="0" xfId="0" applyFont="1" applyFill="1" applyAlignment="1">
      <alignment vertical="center"/>
    </xf>
    <xf numFmtId="16" fontId="3" fillId="0" borderId="0" xfId="0" applyNumberFormat="1" applyFont="1" applyFill="1" applyAlignment="1">
      <alignment horizontal="right"/>
    </xf>
    <xf numFmtId="0" fontId="3" fillId="0" borderId="0" xfId="0" applyFont="1" applyFill="1"/>
    <xf numFmtId="0" fontId="1" fillId="0" borderId="0" xfId="0" applyFont="1"/>
    <xf numFmtId="0" fontId="27" fillId="0" borderId="0" xfId="0" applyFont="1" applyFill="1"/>
    <xf numFmtId="0" fontId="3" fillId="0" borderId="0" xfId="0" applyFont="1" applyFill="1" applyAlignment="1">
      <alignment horizontal="right"/>
    </xf>
    <xf numFmtId="0" fontId="26" fillId="7" borderId="0" xfId="0" applyFont="1" applyFill="1"/>
    <xf numFmtId="0" fontId="0" fillId="7" borderId="0" xfId="0" applyFill="1"/>
    <xf numFmtId="0" fontId="0" fillId="7" borderId="0" xfId="0" applyFont="1" applyFill="1"/>
    <xf numFmtId="0" fontId="29" fillId="0" borderId="0" xfId="0" applyFont="1" applyFill="1"/>
    <xf numFmtId="0" fontId="30" fillId="0" borderId="0" xfId="0" applyFont="1" applyFill="1"/>
    <xf numFmtId="0" fontId="1" fillId="0" borderId="0" xfId="0" applyFont="1" applyFill="1"/>
    <xf numFmtId="0" fontId="1" fillId="0" borderId="0" xfId="0" applyFont="1" applyAlignment="1">
      <alignment horizontal="left"/>
    </xf>
    <xf numFmtId="0" fontId="31" fillId="0" borderId="0" xfId="0" applyFont="1"/>
    <xf numFmtId="16" fontId="0" fillId="0" borderId="0" xfId="0" applyNumberFormat="1" applyFill="1" applyAlignment="1"/>
    <xf numFmtId="0" fontId="19" fillId="0" borderId="0" xfId="0" applyFont="1" applyFill="1" applyAlignment="1">
      <alignment horizontal="left"/>
    </xf>
    <xf numFmtId="0" fontId="32" fillId="0" borderId="0" xfId="0" applyFont="1" applyFill="1"/>
    <xf numFmtId="0" fontId="0" fillId="12" borderId="0" xfId="0" applyFill="1" applyAlignment="1">
      <alignment horizontal="left"/>
    </xf>
    <xf numFmtId="0" fontId="0" fillId="8" borderId="0" xfId="0" applyFill="1" applyAlignment="1">
      <alignment horizontal="left"/>
    </xf>
    <xf numFmtId="0" fontId="0" fillId="8" borderId="0" xfId="0" applyFill="1"/>
    <xf numFmtId="0" fontId="3" fillId="11" borderId="0" xfId="0" applyFont="1" applyFill="1"/>
    <xf numFmtId="0" fontId="34" fillId="0" borderId="0" xfId="1" applyFill="1"/>
    <xf numFmtId="0" fontId="35" fillId="0" borderId="0" xfId="0" applyFont="1" applyAlignment="1">
      <alignment horizontal="right" wrapText="1"/>
    </xf>
    <xf numFmtId="0" fontId="35" fillId="0" borderId="0" xfId="0" applyFont="1" applyAlignment="1">
      <alignment wrapText="1"/>
    </xf>
    <xf numFmtId="0" fontId="35" fillId="0" borderId="0" xfId="0" applyFont="1" applyFill="1" applyAlignment="1">
      <alignment wrapText="1"/>
    </xf>
    <xf numFmtId="0" fontId="37" fillId="0" borderId="0" xfId="0" applyFont="1" applyFill="1"/>
    <xf numFmtId="0" fontId="38" fillId="0" borderId="0" xfId="0" applyFont="1" applyFill="1"/>
    <xf numFmtId="0" fontId="39" fillId="0" borderId="0" xfId="0" applyFont="1" applyFill="1"/>
    <xf numFmtId="0" fontId="40" fillId="0" borderId="0" xfId="0" applyFont="1" applyFill="1"/>
    <xf numFmtId="0" fontId="42" fillId="0" borderId="0" xfId="0" applyFont="1" applyFill="1"/>
    <xf numFmtId="0" fontId="3" fillId="12" borderId="0" xfId="0" applyFont="1" applyFill="1"/>
    <xf numFmtId="0" fontId="34" fillId="0" borderId="0" xfId="1"/>
    <xf numFmtId="0" fontId="16" fillId="0" borderId="0" xfId="0" applyFont="1" applyFill="1"/>
    <xf numFmtId="16" fontId="19" fillId="0" borderId="0" xfId="0" applyNumberFormat="1" applyFont="1" applyFill="1" applyAlignment="1">
      <alignment horizontal="right"/>
    </xf>
    <xf numFmtId="0" fontId="48" fillId="0" borderId="0" xfId="0" applyFont="1" applyFill="1"/>
    <xf numFmtId="0" fontId="19" fillId="0" borderId="0" xfId="0" applyFont="1" applyFill="1"/>
    <xf numFmtId="0" fontId="50" fillId="0" borderId="0" xfId="0" applyFont="1" applyFill="1"/>
    <xf numFmtId="0" fontId="48" fillId="0" borderId="0" xfId="0" applyFont="1" applyFill="1" applyAlignment="1">
      <alignment horizontal="left"/>
    </xf>
    <xf numFmtId="0" fontId="49" fillId="0" borderId="0" xfId="0" applyFont="1" applyFill="1"/>
    <xf numFmtId="0" fontId="44" fillId="0" borderId="0" xfId="0" applyFont="1" applyFill="1"/>
    <xf numFmtId="0" fontId="47" fillId="0" borderId="0" xfId="0" applyFont="1" applyFill="1" applyAlignment="1">
      <alignment horizontal="left" vertical="center"/>
    </xf>
    <xf numFmtId="164" fontId="0" fillId="0" borderId="0" xfId="0" applyNumberFormat="1" applyAlignment="1">
      <alignment horizontal="right"/>
    </xf>
    <xf numFmtId="0" fontId="17" fillId="0" borderId="0" xfId="0" applyFont="1" applyFill="1" applyAlignment="1">
      <alignment horizontal="left"/>
    </xf>
    <xf numFmtId="4" fontId="0" fillId="0" borderId="0" xfId="0" applyNumberFormat="1" applyAlignment="1">
      <alignment horizontal="right"/>
    </xf>
    <xf numFmtId="2" fontId="0" fillId="0" borderId="0" xfId="0" applyNumberFormat="1" applyFill="1"/>
    <xf numFmtId="2" fontId="0" fillId="0" borderId="0" xfId="0" applyNumberFormat="1" applyAlignment="1">
      <alignment horizontal="right"/>
    </xf>
    <xf numFmtId="4" fontId="1" fillId="0" borderId="0" xfId="0" applyNumberFormat="1" applyFont="1"/>
    <xf numFmtId="16" fontId="0" fillId="0" borderId="0" xfId="0" quotePrefix="1" applyNumberFormat="1" applyFill="1" applyAlignment="1">
      <alignment horizontal="right"/>
    </xf>
    <xf numFmtId="16" fontId="1" fillId="0" borderId="0" xfId="0" applyNumberFormat="1" applyFont="1" applyFill="1" applyAlignment="1">
      <alignment horizontal="right"/>
    </xf>
    <xf numFmtId="0" fontId="3" fillId="0" borderId="0" xfId="1" applyFont="1" applyFill="1" applyAlignment="1">
      <alignment vertical="center" wrapText="1"/>
    </xf>
    <xf numFmtId="0" fontId="2" fillId="7" borderId="0" xfId="0" applyFont="1" applyFill="1"/>
    <xf numFmtId="16" fontId="0" fillId="0" borderId="0" xfId="0" quotePrefix="1" applyNumberFormat="1" applyAlignment="1">
      <alignment horizontal="left"/>
    </xf>
    <xf numFmtId="0" fontId="55" fillId="0" borderId="0" xfId="0" applyFont="1" applyFill="1"/>
    <xf numFmtId="0" fontId="19" fillId="7" borderId="0" xfId="0" applyFont="1" applyFill="1"/>
    <xf numFmtId="0" fontId="56" fillId="0" borderId="0" xfId="0" applyFont="1" applyFill="1"/>
    <xf numFmtId="164" fontId="0" fillId="6" borderId="0" xfId="0" applyNumberFormat="1" applyFill="1" applyAlignment="1">
      <alignment horizontal="right"/>
    </xf>
    <xf numFmtId="0" fontId="48" fillId="0" borderId="2" xfId="0" applyFont="1" applyFill="1" applyBorder="1" applyAlignment="1">
      <alignment horizontal="left" vertical="center" wrapText="1"/>
    </xf>
    <xf numFmtId="0" fontId="57" fillId="0" borderId="2" xfId="0" applyFont="1" applyFill="1" applyBorder="1" applyAlignment="1">
      <alignment horizontal="left" vertical="center" wrapText="1"/>
    </xf>
    <xf numFmtId="16" fontId="3" fillId="0" borderId="0" xfId="0" quotePrefix="1" applyNumberFormat="1" applyFont="1" applyFill="1" applyAlignment="1">
      <alignment horizontal="right"/>
    </xf>
    <xf numFmtId="0" fontId="54" fillId="0" borderId="0" xfId="0" applyFont="1" applyFill="1"/>
    <xf numFmtId="0" fontId="34" fillId="0" borderId="0" xfId="1" applyFill="1" applyAlignment="1">
      <alignment horizontal="left"/>
    </xf>
    <xf numFmtId="0" fontId="52" fillId="0" borderId="0" xfId="0" applyFont="1" applyFill="1"/>
    <xf numFmtId="0" fontId="53" fillId="0" borderId="0" xfId="0" applyFont="1" applyFill="1"/>
    <xf numFmtId="0" fontId="3" fillId="0" borderId="0" xfId="1" applyFont="1" applyFill="1" applyAlignment="1">
      <alignment horizontal="left" vertical="center"/>
    </xf>
    <xf numFmtId="0" fontId="23" fillId="0" borderId="0" xfId="0" applyFont="1" applyFill="1"/>
    <xf numFmtId="165" fontId="0" fillId="0" borderId="0" xfId="0" applyNumberFormat="1"/>
    <xf numFmtId="16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jcahill@btinternet.com%2044%207977%20272153" TargetMode="External"/><Relationship Id="rId13" Type="http://schemas.openxmlformats.org/officeDocument/2006/relationships/hyperlink" Target="mailto:liz.dodd.66@gmail.com%20%2044%207810%20795820" TargetMode="External"/><Relationship Id="rId18" Type="http://schemas.openxmlformats.org/officeDocument/2006/relationships/hyperlink" Target="mailto:alansheridan1234@gmail.com" TargetMode="External"/><Relationship Id="rId3" Type="http://schemas.openxmlformats.org/officeDocument/2006/relationships/hyperlink" Target="mailto:chris_sandwell@hotmail.com" TargetMode="External"/><Relationship Id="rId21" Type="http://schemas.openxmlformats.org/officeDocument/2006/relationships/hyperlink" Target="mailto:A/D/F1/F@/T" TargetMode="External"/><Relationship Id="rId7" Type="http://schemas.openxmlformats.org/officeDocument/2006/relationships/hyperlink" Target="mailto:eine@familie.tele.dk%20%2045%2023%2020%2055%2044" TargetMode="External"/><Relationship Id="rId12" Type="http://schemas.openxmlformats.org/officeDocument/2006/relationships/hyperlink" Target="mailto:sakada777@yahoo.no" TargetMode="External"/><Relationship Id="rId17" Type="http://schemas.openxmlformats.org/officeDocument/2006/relationships/hyperlink" Target="mailto:m.s.gadd@btinternet.com" TargetMode="External"/><Relationship Id="rId2" Type="http://schemas.openxmlformats.org/officeDocument/2006/relationships/hyperlink" Target="mailto:moymoy51@hotmail.co.uk" TargetMode="External"/><Relationship Id="rId16" Type="http://schemas.openxmlformats.org/officeDocument/2006/relationships/hyperlink" Target="mailto:xby@talktalk.ne" TargetMode="External"/><Relationship Id="rId20" Type="http://schemas.openxmlformats.org/officeDocument/2006/relationships/hyperlink" Target="mailto:jess.truong14@gmail.com%20%2044%207470186672" TargetMode="External"/><Relationship Id="rId1" Type="http://schemas.openxmlformats.org/officeDocument/2006/relationships/hyperlink" Target="mailto:katharine_yates@hotmail.co.uk" TargetMode="External"/><Relationship Id="rId6" Type="http://schemas.openxmlformats.org/officeDocument/2006/relationships/hyperlink" Target="mailto:normandylass@yahoo.co.uk" TargetMode="External"/><Relationship Id="rId11" Type="http://schemas.openxmlformats.org/officeDocument/2006/relationships/hyperlink" Target="mailto:h_pearce1@sky.com%20%20%20%20%2044%2007557%20273391" TargetMode="External"/><Relationship Id="rId5" Type="http://schemas.openxmlformats.org/officeDocument/2006/relationships/hyperlink" Target="mailto:vival@sky.com" TargetMode="External"/><Relationship Id="rId15" Type="http://schemas.openxmlformats.org/officeDocument/2006/relationships/hyperlink" Target="mailto:pajbrady@hotmail.com%20%20%20353%2087%20060%201531" TargetMode="External"/><Relationship Id="rId10" Type="http://schemas.openxmlformats.org/officeDocument/2006/relationships/hyperlink" Target="mailto:Alisonwinder67@sky.com%20%20%20%20%20%20%20%20%20%20%2044%2007824%20375115" TargetMode="External"/><Relationship Id="rId19" Type="http://schemas.openxmlformats.org/officeDocument/2006/relationships/hyperlink" Target="mailto:sueanddavid@live.co.uk" TargetMode="External"/><Relationship Id="rId4" Type="http://schemas.openxmlformats.org/officeDocument/2006/relationships/hyperlink" Target="mailto:cwilliamscahir@gmail.com%20%20353%2086%20389%204579" TargetMode="External"/><Relationship Id="rId9" Type="http://schemas.openxmlformats.org/officeDocument/2006/relationships/hyperlink" Target="mailto:eroche11@icloud.com" TargetMode="External"/><Relationship Id="rId14" Type="http://schemas.openxmlformats.org/officeDocument/2006/relationships/hyperlink" Target="mailto:r.cullinane@epa.ie%20%20353%200876783988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4"/>
  <sheetViews>
    <sheetView tabSelected="1" topLeftCell="A178" zoomScale="80" zoomScaleNormal="80" workbookViewId="0">
      <selection activeCell="B206" sqref="B206"/>
    </sheetView>
  </sheetViews>
  <sheetFormatPr defaultRowHeight="14.4"/>
  <cols>
    <col min="1" max="1" width="4.5546875" style="4" customWidth="1"/>
    <col min="2" max="2" width="26.6640625" customWidth="1"/>
    <col min="3" max="3" width="30.109375" style="4" customWidth="1"/>
    <col min="4" max="4" width="6.88671875" style="4" customWidth="1"/>
    <col min="5" max="6" width="6.88671875" style="4" hidden="1" customWidth="1"/>
    <col min="7" max="7" width="28.88671875" style="4" customWidth="1"/>
    <col min="8" max="8" width="9.109375" style="4" customWidth="1"/>
    <col min="9" max="9" width="2.88671875" style="4" customWidth="1"/>
    <col min="10" max="10" width="20.6640625" style="4" customWidth="1"/>
    <col min="11" max="11" width="20.88671875" style="4" customWidth="1"/>
    <col min="12" max="12" width="7" style="7" customWidth="1"/>
    <col min="13" max="13" width="10" customWidth="1"/>
    <col min="15" max="15" width="11.44140625" bestFit="1" customWidth="1"/>
    <col min="16" max="16" width="10.44140625" customWidth="1"/>
    <col min="17" max="17" width="11.44140625" customWidth="1"/>
    <col min="18" max="19" width="12.6640625" customWidth="1"/>
    <col min="20" max="20" width="19.33203125" customWidth="1"/>
    <col min="21" max="21" width="13.109375" customWidth="1"/>
    <col min="23" max="23" width="10" customWidth="1"/>
    <col min="24" max="24" width="0.44140625" customWidth="1"/>
    <col min="25" max="25" width="11.44140625" customWidth="1"/>
    <col min="26" max="26" width="10.5546875" customWidth="1"/>
    <col min="30" max="30" width="36.44140625" customWidth="1"/>
  </cols>
  <sheetData>
    <row r="1" spans="1:30">
      <c r="B1" s="4" t="s">
        <v>27</v>
      </c>
      <c r="C1"/>
      <c r="M1" s="2">
        <v>0.15</v>
      </c>
      <c r="N1" t="s">
        <v>10</v>
      </c>
    </row>
    <row r="2" spans="1:30">
      <c r="C2" s="17"/>
      <c r="M2">
        <v>7</v>
      </c>
      <c r="N2" t="s">
        <v>5</v>
      </c>
      <c r="W2">
        <f>748+74</f>
        <v>822</v>
      </c>
    </row>
    <row r="3" spans="1:30">
      <c r="C3"/>
      <c r="M3">
        <v>3</v>
      </c>
      <c r="N3" t="s">
        <v>6</v>
      </c>
      <c r="P3">
        <f>IF(M3&gt;5,4,3)</f>
        <v>3</v>
      </c>
    </row>
    <row r="4" spans="1:30">
      <c r="C4"/>
      <c r="M4">
        <v>1</v>
      </c>
      <c r="N4" s="4" t="s">
        <v>32</v>
      </c>
    </row>
    <row r="5" spans="1:30">
      <c r="C5" s="6" t="s">
        <v>222</v>
      </c>
      <c r="M5" s="6" t="s">
        <v>1</v>
      </c>
      <c r="Q5" s="1" t="s">
        <v>4</v>
      </c>
      <c r="U5" s="3" t="s">
        <v>12</v>
      </c>
      <c r="V5" s="1" t="s">
        <v>1</v>
      </c>
      <c r="Y5" s="1" t="s">
        <v>1</v>
      </c>
    </row>
    <row r="6" spans="1:30">
      <c r="G6" s="4" t="s">
        <v>45</v>
      </c>
      <c r="J6" s="6" t="s">
        <v>38</v>
      </c>
      <c r="M6" s="6" t="s">
        <v>46</v>
      </c>
      <c r="N6" s="1"/>
      <c r="O6" s="1" t="s">
        <v>8</v>
      </c>
      <c r="P6" s="1"/>
      <c r="Q6" s="1" t="s">
        <v>9</v>
      </c>
      <c r="R6" s="1" t="s">
        <v>0</v>
      </c>
      <c r="S6" s="1" t="s">
        <v>7</v>
      </c>
      <c r="T6" s="1" t="s">
        <v>11</v>
      </c>
      <c r="U6" s="3" t="s">
        <v>11</v>
      </c>
      <c r="V6" s="1" t="s">
        <v>2</v>
      </c>
      <c r="Y6" s="1" t="s">
        <v>3</v>
      </c>
    </row>
    <row r="7" spans="1:30">
      <c r="B7" s="4" t="s">
        <v>43</v>
      </c>
      <c r="C7" s="4">
        <v>275</v>
      </c>
      <c r="G7" s="4">
        <f>300/7*$M$2</f>
        <v>300</v>
      </c>
      <c r="J7" s="4">
        <f>M7/7*$M$2</f>
        <v>500</v>
      </c>
      <c r="M7">
        <v>500</v>
      </c>
      <c r="N7" s="4"/>
      <c r="O7">
        <v>80</v>
      </c>
      <c r="Q7" s="4">
        <f>IF($M$3&gt;4,$P$3*($M$3-4)*$M$2,0)</f>
        <v>0</v>
      </c>
      <c r="R7" s="4">
        <f>ROUND((G7+O7+Q7)*$M$1,0)</f>
        <v>57</v>
      </c>
      <c r="S7">
        <f>G7+O7+Q7+R7</f>
        <v>437</v>
      </c>
      <c r="T7" s="4">
        <f>ROUND(S7*0.039,0)*$M$4</f>
        <v>17</v>
      </c>
      <c r="U7" s="4">
        <f>S7+T7</f>
        <v>454</v>
      </c>
      <c r="V7">
        <f>G7/7</f>
        <v>42.857142857142854</v>
      </c>
      <c r="Y7">
        <f>V7*30</f>
        <v>1285.7142857142856</v>
      </c>
    </row>
    <row r="8" spans="1:30">
      <c r="B8" s="4" t="s">
        <v>42</v>
      </c>
      <c r="C8" s="4">
        <v>400</v>
      </c>
      <c r="G8" s="4">
        <f>450/7*$M$2</f>
        <v>450.00000000000006</v>
      </c>
      <c r="J8" s="4">
        <f>M8/7*$M$2</f>
        <v>600</v>
      </c>
      <c r="M8" s="4">
        <v>600</v>
      </c>
      <c r="N8" s="4"/>
      <c r="O8" s="4">
        <v>80</v>
      </c>
      <c r="P8" s="4"/>
      <c r="Q8" s="4">
        <f>IF($M$3&gt;4,$P$3*($M$3-4)*$M$2,0)</f>
        <v>0</v>
      </c>
      <c r="R8" s="4">
        <f>ROUND((G8+O8+Q8)*$M$1,0)</f>
        <v>80</v>
      </c>
      <c r="S8" s="4">
        <f>G8+O8+Q8+R8</f>
        <v>610</v>
      </c>
      <c r="T8" s="4">
        <f>ROUND(S8*0.039,0)*$M$4</f>
        <v>24</v>
      </c>
      <c r="U8" s="4">
        <f>S8+T8</f>
        <v>634</v>
      </c>
      <c r="V8" s="4">
        <f>G8/7</f>
        <v>64.285714285714292</v>
      </c>
      <c r="Y8" s="4">
        <f>V8*30</f>
        <v>1928.5714285714287</v>
      </c>
    </row>
    <row r="9" spans="1:30" s="4" customFormat="1">
      <c r="B9" s="4" t="s">
        <v>41</v>
      </c>
      <c r="C9" s="4">
        <v>470</v>
      </c>
      <c r="G9" s="4">
        <f>570/7*$M$2*0.9</f>
        <v>513</v>
      </c>
      <c r="J9" s="4">
        <f>M9/7*$M$2</f>
        <v>700</v>
      </c>
      <c r="L9" s="7"/>
      <c r="M9" s="4">
        <v>700</v>
      </c>
      <c r="O9" s="4">
        <v>80</v>
      </c>
      <c r="Q9" s="4">
        <f>IF($M$3&gt;4,$P$3*($M$3-4)*$M$2,0)</f>
        <v>0</v>
      </c>
      <c r="R9" s="4">
        <f>ROUND((G9+O9+Q9)*$M$1,0)</f>
        <v>89</v>
      </c>
      <c r="S9" s="4">
        <f>G9+O9+Q9+R9</f>
        <v>682</v>
      </c>
      <c r="T9" s="4">
        <f>ROUND(S9*0.039,0)*$M$4</f>
        <v>27</v>
      </c>
      <c r="U9" s="4">
        <f>S9+T9</f>
        <v>709</v>
      </c>
      <c r="V9" s="4">
        <f>G9/7</f>
        <v>73.285714285714292</v>
      </c>
      <c r="Y9" s="4">
        <f>V9*30</f>
        <v>2198.5714285714289</v>
      </c>
    </row>
    <row r="10" spans="1:30" s="4" customFormat="1">
      <c r="B10" s="4" t="s">
        <v>44</v>
      </c>
      <c r="C10" s="4">
        <v>575</v>
      </c>
      <c r="G10" s="4">
        <f>675/7*$M$2</f>
        <v>675</v>
      </c>
      <c r="J10" s="4">
        <f>M10/7*$M$2</f>
        <v>800</v>
      </c>
      <c r="L10" s="7"/>
      <c r="M10" s="4">
        <v>800</v>
      </c>
      <c r="O10" s="4">
        <v>80</v>
      </c>
      <c r="Q10" s="4">
        <f>IF($M$3&gt;4,$P$3*($M$3-4)*$M$2,0)</f>
        <v>0</v>
      </c>
      <c r="R10" s="4">
        <f>ROUND((G10+O10+Q10)*$M$1,0)</f>
        <v>113</v>
      </c>
      <c r="S10" s="4">
        <f>G10+O10+Q10+R10</f>
        <v>868</v>
      </c>
      <c r="T10" s="4">
        <f>ROUND(S10*0.039,0)*$M$4</f>
        <v>34</v>
      </c>
      <c r="U10" s="4">
        <f>S10+T10</f>
        <v>902</v>
      </c>
      <c r="V10" s="4">
        <f>G10/7</f>
        <v>96.428571428571431</v>
      </c>
      <c r="Y10" s="4">
        <f>V10*30</f>
        <v>2892.8571428571431</v>
      </c>
    </row>
    <row r="11" spans="1:30">
      <c r="B11" s="4" t="s">
        <v>40</v>
      </c>
      <c r="C11" s="4">
        <v>845</v>
      </c>
      <c r="G11" s="4">
        <f>845/7*$M$2</f>
        <v>845</v>
      </c>
      <c r="J11" s="4">
        <f>M11/7*$M$2</f>
        <v>1000</v>
      </c>
      <c r="M11" s="4">
        <v>1000</v>
      </c>
      <c r="N11" s="4"/>
      <c r="O11" s="4">
        <v>80</v>
      </c>
      <c r="P11" s="4"/>
      <c r="Q11" s="4">
        <f>IF($M$3&gt;4,$P$3*($M$3-4)*$M$2,0)</f>
        <v>0</v>
      </c>
      <c r="R11" s="4">
        <f>ROUND((G11+O11+Q11)*$M$1,0)</f>
        <v>139</v>
      </c>
      <c r="S11" s="4">
        <f>G11+O11+Q11+R11</f>
        <v>1064</v>
      </c>
      <c r="T11" s="4">
        <f>ROUND(S11*0.039,0)*$M$4</f>
        <v>41</v>
      </c>
      <c r="U11" s="4">
        <f>S11+T11</f>
        <v>1105</v>
      </c>
      <c r="V11" s="4">
        <f>G11/7</f>
        <v>120.71428571428571</v>
      </c>
      <c r="Y11" s="4">
        <f>V11*30</f>
        <v>3621.4285714285711</v>
      </c>
      <c r="AB11">
        <f>G11/7</f>
        <v>120.71428571428571</v>
      </c>
    </row>
    <row r="12" spans="1:30">
      <c r="O12" s="4"/>
      <c r="P12" s="4"/>
      <c r="Q12" s="4"/>
      <c r="R12" s="4"/>
    </row>
    <row r="13" spans="1:30">
      <c r="H13" s="4" t="s">
        <v>28</v>
      </c>
    </row>
    <row r="14" spans="1:30">
      <c r="B14" s="4" t="s">
        <v>13</v>
      </c>
      <c r="C14" s="4" t="s">
        <v>26</v>
      </c>
      <c r="D14" s="4" t="s">
        <v>14</v>
      </c>
      <c r="G14" s="4" t="s">
        <v>15</v>
      </c>
      <c r="H14" s="4" t="s">
        <v>29</v>
      </c>
      <c r="J14" s="4" t="s">
        <v>16</v>
      </c>
      <c r="M14" s="4"/>
      <c r="O14" s="6" t="s">
        <v>17</v>
      </c>
      <c r="P14" s="6" t="s">
        <v>18</v>
      </c>
      <c r="Q14" s="6" t="s">
        <v>19</v>
      </c>
      <c r="R14" s="6" t="s">
        <v>20</v>
      </c>
      <c r="S14" s="6" t="s">
        <v>39</v>
      </c>
      <c r="T14" s="7" t="s">
        <v>21</v>
      </c>
      <c r="U14" s="6" t="s">
        <v>7</v>
      </c>
      <c r="V14" s="6" t="s">
        <v>8</v>
      </c>
      <c r="W14" s="6" t="s">
        <v>22</v>
      </c>
      <c r="X14" s="6" t="s">
        <v>23</v>
      </c>
      <c r="Y14" s="6" t="s">
        <v>24</v>
      </c>
      <c r="Z14" s="6" t="s">
        <v>25</v>
      </c>
      <c r="AA14" s="6"/>
      <c r="AD14" s="6"/>
    </row>
    <row r="15" spans="1:30" s="4" customFormat="1" ht="23.4">
      <c r="A15" s="29"/>
      <c r="B15" s="26">
        <v>2011</v>
      </c>
      <c r="C15" s="27"/>
      <c r="D15" s="28"/>
      <c r="E15" s="28"/>
      <c r="F15" s="28"/>
      <c r="G15" s="28"/>
      <c r="H15" s="28"/>
      <c r="I15" s="28"/>
      <c r="J15" s="28"/>
      <c r="K15" s="29"/>
      <c r="L15" s="30"/>
      <c r="M15" s="31"/>
      <c r="N15" s="29"/>
      <c r="O15" s="32"/>
      <c r="P15" s="32"/>
      <c r="Q15" s="29"/>
      <c r="R15" s="33"/>
      <c r="S15" s="34"/>
      <c r="T15" s="30"/>
      <c r="U15" s="32"/>
      <c r="V15" s="32"/>
      <c r="W15" s="29"/>
      <c r="X15" s="32"/>
      <c r="Y15" s="32"/>
      <c r="Z15" s="32"/>
    </row>
    <row r="16" spans="1:30" s="4" customFormat="1">
      <c r="B16" s="4" t="s">
        <v>79</v>
      </c>
      <c r="C16" s="4" t="s">
        <v>47</v>
      </c>
      <c r="D16" s="4" t="s">
        <v>48</v>
      </c>
      <c r="E16" s="4">
        <f>IF(D16=$B$1,H16,0)</f>
        <v>0</v>
      </c>
      <c r="F16" s="4">
        <f t="shared" ref="F16:F35" si="0">IF(E16&gt;0,0,1)</f>
        <v>1</v>
      </c>
      <c r="G16" s="4" t="s">
        <v>52</v>
      </c>
      <c r="H16" s="15">
        <v>13</v>
      </c>
      <c r="I16" s="15"/>
      <c r="J16" s="4" t="s">
        <v>49</v>
      </c>
      <c r="K16" s="4" t="s">
        <v>70</v>
      </c>
      <c r="L16" s="7"/>
      <c r="M16" s="5"/>
      <c r="O16" s="51">
        <v>522</v>
      </c>
      <c r="P16" s="6">
        <v>0</v>
      </c>
      <c r="Q16" s="4">
        <f>IF(O16&gt;0,((O16+300)-P16),0)</f>
        <v>822</v>
      </c>
      <c r="R16" s="8" t="s">
        <v>50</v>
      </c>
      <c r="S16" s="3" t="s">
        <v>51</v>
      </c>
      <c r="T16" s="7" t="s">
        <v>21</v>
      </c>
      <c r="U16" s="6">
        <f>Q16+P16</f>
        <v>822</v>
      </c>
      <c r="V16" s="6">
        <f t="shared" ref="V16:V36" si="1">IF(H16&gt;0,70,0)</f>
        <v>70</v>
      </c>
      <c r="W16" s="4">
        <f>O16-V16</f>
        <v>452</v>
      </c>
      <c r="X16" s="6"/>
      <c r="Y16" s="6">
        <f t="shared" ref="Y16:Y25" si="2">IF(H16&gt;0,30*F16,0)</f>
        <v>30</v>
      </c>
      <c r="Z16" s="6">
        <f>W16-Y16</f>
        <v>422</v>
      </c>
    </row>
    <row r="17" spans="2:26" s="4" customFormat="1">
      <c r="B17" s="52"/>
      <c r="C17" s="53"/>
      <c r="E17" s="4">
        <f t="shared" ref="E17:E35" si="3">IF(D17=$B$1,H17,0)</f>
        <v>0</v>
      </c>
      <c r="F17" s="4">
        <f t="shared" si="0"/>
        <v>1</v>
      </c>
      <c r="H17" s="15"/>
      <c r="I17" s="15"/>
      <c r="L17" s="7"/>
      <c r="M17" s="5"/>
      <c r="O17" s="51">
        <v>0</v>
      </c>
      <c r="P17" s="6">
        <f t="shared" ref="P17:P33" si="4">ROUND((O17*0.4),0)</f>
        <v>0</v>
      </c>
      <c r="Q17" s="4">
        <f t="shared" ref="Q17:Q33" si="5">IF(O17&gt;0,((O17+300)-P17),0)</f>
        <v>0</v>
      </c>
      <c r="R17" s="8"/>
      <c r="S17" s="3"/>
      <c r="T17" s="7"/>
      <c r="U17" s="6">
        <f t="shared" ref="U17:U33" si="6">Q17+P17</f>
        <v>0</v>
      </c>
      <c r="V17" s="6">
        <f t="shared" si="1"/>
        <v>0</v>
      </c>
      <c r="W17" s="4">
        <f t="shared" ref="W17:W33" si="7">O17-V17</f>
        <v>0</v>
      </c>
      <c r="X17" s="6"/>
      <c r="Y17" s="6">
        <f t="shared" si="2"/>
        <v>0</v>
      </c>
      <c r="Z17" s="6">
        <f t="shared" ref="Z17:Z33" si="8">W17-Y17</f>
        <v>0</v>
      </c>
    </row>
    <row r="18" spans="2:26" s="4" customFormat="1">
      <c r="B18" s="4" t="s">
        <v>80</v>
      </c>
      <c r="C18" s="4" t="s">
        <v>58</v>
      </c>
      <c r="D18" s="4" t="s">
        <v>59</v>
      </c>
      <c r="E18" s="4">
        <f t="shared" si="3"/>
        <v>0</v>
      </c>
      <c r="F18" s="4">
        <f t="shared" si="0"/>
        <v>1</v>
      </c>
      <c r="G18" s="4" t="s">
        <v>60</v>
      </c>
      <c r="H18" s="15">
        <v>12</v>
      </c>
      <c r="I18" s="15"/>
      <c r="J18" s="4" t="s">
        <v>61</v>
      </c>
      <c r="K18" s="4" t="s">
        <v>70</v>
      </c>
      <c r="L18" s="7"/>
      <c r="M18" s="5"/>
      <c r="O18" s="51">
        <v>963</v>
      </c>
      <c r="P18" s="6">
        <f t="shared" si="4"/>
        <v>385</v>
      </c>
      <c r="Q18" s="4">
        <f t="shared" si="5"/>
        <v>878</v>
      </c>
      <c r="R18" s="56">
        <v>40597</v>
      </c>
      <c r="S18" s="3" t="s">
        <v>51</v>
      </c>
      <c r="T18" s="65" t="s">
        <v>98</v>
      </c>
      <c r="U18" s="6">
        <f t="shared" si="6"/>
        <v>1263</v>
      </c>
      <c r="V18" s="6">
        <f t="shared" si="1"/>
        <v>70</v>
      </c>
      <c r="W18" s="4">
        <f t="shared" si="7"/>
        <v>893</v>
      </c>
      <c r="X18" s="6"/>
      <c r="Y18" s="6">
        <f t="shared" si="2"/>
        <v>30</v>
      </c>
      <c r="Z18" s="6">
        <f t="shared" si="8"/>
        <v>863</v>
      </c>
    </row>
    <row r="19" spans="2:26" s="57" customFormat="1">
      <c r="B19" s="63" t="s">
        <v>81</v>
      </c>
      <c r="C19" s="4" t="s">
        <v>82</v>
      </c>
      <c r="D19" s="57" t="s">
        <v>53</v>
      </c>
      <c r="G19" s="57" t="s">
        <v>83</v>
      </c>
      <c r="H19" s="58">
        <v>7</v>
      </c>
      <c r="I19" s="58"/>
      <c r="J19" s="57" t="s">
        <v>84</v>
      </c>
      <c r="K19" s="57" t="s">
        <v>70</v>
      </c>
      <c r="L19" s="59"/>
      <c r="M19" s="60"/>
      <c r="O19" s="51">
        <v>759</v>
      </c>
      <c r="P19" s="61">
        <f t="shared" si="4"/>
        <v>304</v>
      </c>
      <c r="Q19" s="57">
        <f t="shared" si="5"/>
        <v>755</v>
      </c>
      <c r="R19" s="56">
        <v>40636</v>
      </c>
      <c r="S19" s="64" t="s">
        <v>51</v>
      </c>
      <c r="T19" s="59" t="s">
        <v>99</v>
      </c>
      <c r="U19" s="61">
        <f t="shared" si="6"/>
        <v>1059</v>
      </c>
      <c r="V19" s="61">
        <f t="shared" si="1"/>
        <v>70</v>
      </c>
      <c r="W19" s="57">
        <f t="shared" si="7"/>
        <v>689</v>
      </c>
      <c r="X19" s="61"/>
      <c r="Y19" s="61">
        <f t="shared" si="2"/>
        <v>0</v>
      </c>
      <c r="Z19" s="61">
        <f t="shared" si="8"/>
        <v>689</v>
      </c>
    </row>
    <row r="20" spans="2:26" s="4" customFormat="1">
      <c r="B20" s="52" t="s">
        <v>74</v>
      </c>
      <c r="C20" s="4" t="s">
        <v>73</v>
      </c>
      <c r="D20" s="4" t="s">
        <v>59</v>
      </c>
      <c r="E20" s="4">
        <f t="shared" si="3"/>
        <v>0</v>
      </c>
      <c r="F20" s="4">
        <f t="shared" si="0"/>
        <v>1</v>
      </c>
      <c r="G20" s="4" t="s">
        <v>71</v>
      </c>
      <c r="H20" s="15">
        <v>7</v>
      </c>
      <c r="I20" s="15"/>
      <c r="J20" s="4" t="s">
        <v>72</v>
      </c>
      <c r="K20" s="4" t="s">
        <v>70</v>
      </c>
      <c r="L20" s="7"/>
      <c r="M20" s="5"/>
      <c r="O20" s="51">
        <v>887</v>
      </c>
      <c r="P20" s="6">
        <f t="shared" si="4"/>
        <v>355</v>
      </c>
      <c r="Q20" s="4">
        <f t="shared" si="5"/>
        <v>832</v>
      </c>
      <c r="R20" s="56">
        <v>40646</v>
      </c>
      <c r="S20" s="3" t="s">
        <v>51</v>
      </c>
      <c r="T20" s="7" t="s">
        <v>100</v>
      </c>
      <c r="U20" s="6">
        <f t="shared" si="6"/>
        <v>1187</v>
      </c>
      <c r="V20" s="6">
        <f t="shared" si="1"/>
        <v>70</v>
      </c>
      <c r="W20" s="4">
        <f t="shared" si="7"/>
        <v>817</v>
      </c>
      <c r="X20" s="6"/>
      <c r="Y20" s="6">
        <f t="shared" si="2"/>
        <v>30</v>
      </c>
      <c r="Z20" s="6">
        <f t="shared" si="8"/>
        <v>787</v>
      </c>
    </row>
    <row r="21" spans="2:26" s="4" customFormat="1">
      <c r="O21" s="51">
        <v>0</v>
      </c>
      <c r="P21" s="6">
        <f t="shared" ref="P21:P27" si="9">ROUND((O21*0.4),0)</f>
        <v>0</v>
      </c>
      <c r="Q21" s="4">
        <f t="shared" ref="Q21:Q27" si="10">IF(O21&gt;0,((O21+300)-P21),0)</f>
        <v>0</v>
      </c>
      <c r="R21" s="8"/>
      <c r="S21" s="3"/>
      <c r="T21" s="7"/>
      <c r="U21" s="6">
        <f t="shared" ref="U21:U27" si="11">Q21+P21</f>
        <v>0</v>
      </c>
      <c r="V21" s="6">
        <f t="shared" si="1"/>
        <v>0</v>
      </c>
      <c r="W21" s="4">
        <f t="shared" ref="W21:W27" si="12">O21-V21</f>
        <v>0</v>
      </c>
      <c r="X21" s="6"/>
      <c r="Y21" s="6">
        <f t="shared" si="2"/>
        <v>0</v>
      </c>
      <c r="Z21" s="6">
        <f t="shared" ref="Z21:Z27" si="13">W21-Y21</f>
        <v>0</v>
      </c>
    </row>
    <row r="22" spans="2:26" s="4" customFormat="1" ht="15" customHeight="1">
      <c r="B22" s="15" t="s">
        <v>76</v>
      </c>
      <c r="C22" s="4" t="s">
        <v>75</v>
      </c>
      <c r="D22" s="4" t="s">
        <v>59</v>
      </c>
      <c r="E22" s="4">
        <f t="shared" ref="E22:E27" si="14">IF(D22=$B$1,H22,0)</f>
        <v>0</v>
      </c>
      <c r="F22" s="4">
        <f t="shared" ref="F22:F27" si="15">IF(E22&gt;0,0,1)</f>
        <v>1</v>
      </c>
      <c r="G22" s="4" t="s">
        <v>77</v>
      </c>
      <c r="H22" s="15">
        <v>14</v>
      </c>
      <c r="I22" s="15"/>
      <c r="J22" s="4" t="s">
        <v>61</v>
      </c>
      <c r="K22" s="4" t="s">
        <v>70</v>
      </c>
      <c r="L22" s="7"/>
      <c r="M22" s="5"/>
      <c r="O22" s="51">
        <v>1610</v>
      </c>
      <c r="P22" s="6">
        <f t="shared" si="9"/>
        <v>644</v>
      </c>
      <c r="Q22" s="4">
        <f t="shared" si="10"/>
        <v>1266</v>
      </c>
      <c r="R22" s="8">
        <v>40685</v>
      </c>
      <c r="S22" s="3" t="s">
        <v>51</v>
      </c>
      <c r="T22" s="7" t="s">
        <v>21</v>
      </c>
      <c r="U22" s="6">
        <f t="shared" si="11"/>
        <v>1910</v>
      </c>
      <c r="V22" s="6">
        <f t="shared" si="1"/>
        <v>70</v>
      </c>
      <c r="W22" s="4">
        <f t="shared" si="12"/>
        <v>1540</v>
      </c>
      <c r="X22" s="6"/>
      <c r="Y22" s="6">
        <f t="shared" si="2"/>
        <v>30</v>
      </c>
      <c r="Z22" s="6">
        <f t="shared" si="13"/>
        <v>1510</v>
      </c>
    </row>
    <row r="23" spans="2:26" s="4" customFormat="1" ht="15" customHeight="1">
      <c r="B23" s="55" t="s">
        <v>55</v>
      </c>
      <c r="C23" s="54" t="s">
        <v>27</v>
      </c>
      <c r="D23" s="4" t="s">
        <v>27</v>
      </c>
      <c r="E23" s="4">
        <f t="shared" si="14"/>
        <v>11</v>
      </c>
      <c r="F23" s="4">
        <f t="shared" si="15"/>
        <v>0</v>
      </c>
      <c r="G23" s="4" t="s">
        <v>78</v>
      </c>
      <c r="H23" s="15">
        <v>11</v>
      </c>
      <c r="I23" s="15"/>
      <c r="J23" s="4" t="s">
        <v>56</v>
      </c>
      <c r="K23" s="4" t="s">
        <v>70</v>
      </c>
      <c r="L23" s="7"/>
      <c r="M23" s="5"/>
      <c r="O23" s="51">
        <v>0</v>
      </c>
      <c r="P23" s="6">
        <f t="shared" si="9"/>
        <v>0</v>
      </c>
      <c r="Q23" s="4">
        <f t="shared" si="10"/>
        <v>0</v>
      </c>
      <c r="R23" s="8"/>
      <c r="S23" s="3" t="s">
        <v>27</v>
      </c>
      <c r="T23" s="7" t="s">
        <v>27</v>
      </c>
      <c r="U23" s="6">
        <f t="shared" si="11"/>
        <v>0</v>
      </c>
      <c r="V23" s="6">
        <f t="shared" si="1"/>
        <v>70</v>
      </c>
      <c r="W23" s="4">
        <f t="shared" si="12"/>
        <v>-70</v>
      </c>
      <c r="X23" s="6"/>
      <c r="Y23" s="6">
        <f t="shared" si="2"/>
        <v>0</v>
      </c>
      <c r="Z23" s="6">
        <f t="shared" si="13"/>
        <v>-70</v>
      </c>
    </row>
    <row r="24" spans="2:26" s="57" customFormat="1" ht="15" customHeight="1">
      <c r="B24" s="58" t="s">
        <v>85</v>
      </c>
      <c r="C24" s="4" t="s">
        <v>86</v>
      </c>
      <c r="D24" s="57" t="s">
        <v>59</v>
      </c>
      <c r="E24" s="57">
        <f t="shared" si="14"/>
        <v>0</v>
      </c>
      <c r="F24" s="57">
        <f t="shared" si="15"/>
        <v>1</v>
      </c>
      <c r="G24" s="57" t="s">
        <v>87</v>
      </c>
      <c r="H24" s="58">
        <v>7</v>
      </c>
      <c r="I24" s="58"/>
      <c r="J24" s="57" t="s">
        <v>88</v>
      </c>
      <c r="K24" s="57" t="s">
        <v>70</v>
      </c>
      <c r="L24" s="59"/>
      <c r="M24" s="60"/>
      <c r="O24" s="51">
        <v>1111</v>
      </c>
      <c r="P24" s="61">
        <f t="shared" si="9"/>
        <v>444</v>
      </c>
      <c r="Q24" s="57">
        <f t="shared" si="10"/>
        <v>967</v>
      </c>
      <c r="R24" s="56">
        <v>40686</v>
      </c>
      <c r="S24" s="64" t="s">
        <v>51</v>
      </c>
      <c r="T24" s="59" t="s">
        <v>21</v>
      </c>
      <c r="U24" s="61">
        <f t="shared" si="11"/>
        <v>1411</v>
      </c>
      <c r="V24" s="61">
        <f t="shared" si="1"/>
        <v>70</v>
      </c>
      <c r="W24" s="57">
        <f t="shared" si="12"/>
        <v>1041</v>
      </c>
      <c r="X24" s="61"/>
      <c r="Y24" s="61">
        <f t="shared" si="2"/>
        <v>30</v>
      </c>
      <c r="Z24" s="61">
        <f t="shared" si="13"/>
        <v>1011</v>
      </c>
    </row>
    <row r="25" spans="2:26" s="4" customFormat="1">
      <c r="B25" s="52" t="s">
        <v>67</v>
      </c>
      <c r="C25" s="4" t="s">
        <v>66</v>
      </c>
      <c r="D25" s="4" t="s">
        <v>59</v>
      </c>
      <c r="E25" s="4">
        <f t="shared" si="14"/>
        <v>0</v>
      </c>
      <c r="F25" s="4">
        <f t="shared" si="15"/>
        <v>1</v>
      </c>
      <c r="G25" s="4" t="s">
        <v>68</v>
      </c>
      <c r="H25" s="15">
        <v>10</v>
      </c>
      <c r="I25" s="15"/>
      <c r="J25" s="4" t="s">
        <v>69</v>
      </c>
      <c r="K25" s="4" t="s">
        <v>70</v>
      </c>
      <c r="L25" s="7"/>
      <c r="M25" s="5"/>
      <c r="O25" s="51">
        <v>1503</v>
      </c>
      <c r="P25" s="6">
        <f t="shared" si="9"/>
        <v>601</v>
      </c>
      <c r="Q25" s="4">
        <f t="shared" si="10"/>
        <v>1202</v>
      </c>
      <c r="R25" s="56">
        <v>40665</v>
      </c>
      <c r="S25" s="3" t="s">
        <v>51</v>
      </c>
      <c r="T25" s="7" t="s">
        <v>21</v>
      </c>
      <c r="U25" s="6">
        <f t="shared" si="11"/>
        <v>1803</v>
      </c>
      <c r="V25" s="6">
        <f t="shared" si="1"/>
        <v>70</v>
      </c>
      <c r="W25" s="4">
        <f t="shared" si="12"/>
        <v>1433</v>
      </c>
      <c r="X25" s="6"/>
      <c r="Y25" s="6">
        <f t="shared" si="2"/>
        <v>30</v>
      </c>
      <c r="Z25" s="6">
        <f t="shared" si="13"/>
        <v>1403</v>
      </c>
    </row>
    <row r="26" spans="2:26" s="4" customFormat="1" ht="21">
      <c r="B26" s="52" t="s">
        <v>64</v>
      </c>
      <c r="C26" s="4" t="s">
        <v>65</v>
      </c>
      <c r="D26" s="4" t="s">
        <v>53</v>
      </c>
      <c r="E26" s="4">
        <f t="shared" si="14"/>
        <v>0</v>
      </c>
      <c r="F26" s="4">
        <f t="shared" si="15"/>
        <v>1</v>
      </c>
      <c r="G26" s="4" t="s">
        <v>57</v>
      </c>
      <c r="H26" s="15">
        <v>14</v>
      </c>
      <c r="I26" s="15"/>
      <c r="J26" s="4" t="s">
        <v>54</v>
      </c>
      <c r="K26" s="4" t="s">
        <v>70</v>
      </c>
      <c r="L26" s="7"/>
      <c r="M26" s="5"/>
      <c r="O26" s="51">
        <v>1978</v>
      </c>
      <c r="P26" s="6">
        <f t="shared" si="9"/>
        <v>791</v>
      </c>
      <c r="Q26" s="4">
        <f t="shared" si="10"/>
        <v>1487</v>
      </c>
      <c r="R26" s="56">
        <v>40368</v>
      </c>
      <c r="S26" s="3" t="s">
        <v>51</v>
      </c>
      <c r="T26" s="59" t="s">
        <v>110</v>
      </c>
      <c r="U26" s="6">
        <f t="shared" si="11"/>
        <v>2278</v>
      </c>
      <c r="V26" s="6">
        <f t="shared" si="1"/>
        <v>70</v>
      </c>
      <c r="W26" s="4">
        <f t="shared" si="12"/>
        <v>1908</v>
      </c>
      <c r="X26" s="6"/>
      <c r="Y26" s="6">
        <v>30</v>
      </c>
      <c r="Z26" s="6">
        <f t="shared" si="13"/>
        <v>1878</v>
      </c>
    </row>
    <row r="27" spans="2:26" s="4" customFormat="1">
      <c r="B27" s="4" t="s">
        <v>105</v>
      </c>
      <c r="C27" s="4" t="s">
        <v>106</v>
      </c>
      <c r="D27" s="4" t="s">
        <v>107</v>
      </c>
      <c r="E27" s="4">
        <f t="shared" si="14"/>
        <v>0</v>
      </c>
      <c r="F27" s="4">
        <f t="shared" si="15"/>
        <v>1</v>
      </c>
      <c r="G27" s="4" t="s">
        <v>108</v>
      </c>
      <c r="H27" s="15">
        <v>10</v>
      </c>
      <c r="I27" s="15"/>
      <c r="J27" s="4" t="s">
        <v>90</v>
      </c>
      <c r="K27" s="4" t="s">
        <v>70</v>
      </c>
      <c r="L27" s="7"/>
      <c r="M27" s="5"/>
      <c r="O27" s="51">
        <v>1503</v>
      </c>
      <c r="P27" s="6">
        <f t="shared" si="9"/>
        <v>601</v>
      </c>
      <c r="Q27" s="4">
        <f t="shared" si="10"/>
        <v>1202</v>
      </c>
      <c r="R27" s="8" t="s">
        <v>109</v>
      </c>
      <c r="S27" s="3" t="s">
        <v>51</v>
      </c>
      <c r="T27" s="59" t="s">
        <v>114</v>
      </c>
      <c r="U27" s="61">
        <f t="shared" si="11"/>
        <v>1803</v>
      </c>
      <c r="V27" s="6">
        <f t="shared" si="1"/>
        <v>70</v>
      </c>
      <c r="W27" s="4">
        <f t="shared" si="12"/>
        <v>1433</v>
      </c>
      <c r="X27" s="6"/>
      <c r="Y27" s="6">
        <f t="shared" ref="Y27:Y36" si="16">IF(H27&gt;0,30*F27,0)</f>
        <v>30</v>
      </c>
      <c r="Z27" s="6">
        <f t="shared" si="13"/>
        <v>1403</v>
      </c>
    </row>
    <row r="28" spans="2:26" s="4" customFormat="1">
      <c r="B28" t="s">
        <v>96</v>
      </c>
      <c r="C28" s="52" t="s">
        <v>95</v>
      </c>
      <c r="E28" s="4">
        <f t="shared" si="3"/>
        <v>0</v>
      </c>
      <c r="F28" s="4">
        <f t="shared" si="0"/>
        <v>1</v>
      </c>
      <c r="G28" s="57" t="s">
        <v>94</v>
      </c>
      <c r="H28" s="15">
        <v>9</v>
      </c>
      <c r="I28" s="15"/>
      <c r="J28" s="4" t="s">
        <v>97</v>
      </c>
      <c r="K28" s="4" t="s">
        <v>70</v>
      </c>
      <c r="L28" s="7"/>
      <c r="M28" s="5"/>
      <c r="O28" s="51">
        <v>943</v>
      </c>
      <c r="P28" s="6">
        <f t="shared" si="4"/>
        <v>377</v>
      </c>
      <c r="Q28" s="4">
        <f t="shared" si="5"/>
        <v>866</v>
      </c>
      <c r="R28" s="8">
        <v>40728</v>
      </c>
      <c r="S28" s="3" t="s">
        <v>51</v>
      </c>
      <c r="T28" s="59" t="s">
        <v>21</v>
      </c>
      <c r="U28" s="6">
        <f t="shared" si="6"/>
        <v>1243</v>
      </c>
      <c r="V28" s="6">
        <f t="shared" si="1"/>
        <v>70</v>
      </c>
      <c r="W28" s="4">
        <f t="shared" si="7"/>
        <v>873</v>
      </c>
      <c r="X28" s="6"/>
      <c r="Y28" s="6">
        <f t="shared" si="16"/>
        <v>30</v>
      </c>
      <c r="Z28" s="6">
        <f t="shared" si="8"/>
        <v>843</v>
      </c>
    </row>
    <row r="29" spans="2:26" s="4" customFormat="1">
      <c r="B29" s="4" t="s">
        <v>80</v>
      </c>
      <c r="C29" s="4" t="s">
        <v>58</v>
      </c>
      <c r="D29" s="4" t="s">
        <v>59</v>
      </c>
      <c r="E29" s="4">
        <f t="shared" si="3"/>
        <v>0</v>
      </c>
      <c r="F29" s="4">
        <f t="shared" si="0"/>
        <v>1</v>
      </c>
      <c r="G29" s="4" t="s">
        <v>89</v>
      </c>
      <c r="H29" s="15">
        <v>14</v>
      </c>
      <c r="I29" s="15"/>
      <c r="J29" s="4" t="s">
        <v>90</v>
      </c>
      <c r="K29" s="4" t="s">
        <v>70</v>
      </c>
      <c r="L29" s="7"/>
      <c r="M29" s="5"/>
      <c r="O29" s="51">
        <f>ROUNDUP(1403*0.9,0)</f>
        <v>1263</v>
      </c>
      <c r="P29" s="6">
        <f t="shared" si="4"/>
        <v>505</v>
      </c>
      <c r="Q29" s="4">
        <f t="shared" si="5"/>
        <v>1058</v>
      </c>
      <c r="R29" s="8">
        <v>40738</v>
      </c>
      <c r="S29" s="3" t="s">
        <v>51</v>
      </c>
      <c r="T29" s="69" t="s">
        <v>115</v>
      </c>
      <c r="U29" s="6">
        <f t="shared" si="6"/>
        <v>1563</v>
      </c>
      <c r="V29" s="6">
        <f t="shared" si="1"/>
        <v>70</v>
      </c>
      <c r="W29" s="4">
        <f t="shared" si="7"/>
        <v>1193</v>
      </c>
      <c r="X29" s="6"/>
      <c r="Y29" s="6">
        <f t="shared" si="16"/>
        <v>30</v>
      </c>
      <c r="Z29" s="6">
        <f t="shared" si="8"/>
        <v>1163</v>
      </c>
    </row>
    <row r="30" spans="2:26" s="4" customFormat="1">
      <c r="B30" s="52" t="s">
        <v>62</v>
      </c>
      <c r="C30" s="4" t="s">
        <v>119</v>
      </c>
      <c r="D30" s="4" t="s">
        <v>53</v>
      </c>
      <c r="E30" s="4">
        <f t="shared" si="3"/>
        <v>0</v>
      </c>
      <c r="F30" s="4">
        <f t="shared" si="0"/>
        <v>1</v>
      </c>
      <c r="G30" s="4" t="s">
        <v>63</v>
      </c>
      <c r="H30" s="15">
        <v>7</v>
      </c>
      <c r="I30" s="15"/>
      <c r="J30" s="4" t="s">
        <v>49</v>
      </c>
      <c r="K30" s="4" t="s">
        <v>70</v>
      </c>
      <c r="L30" s="7"/>
      <c r="M30" s="5"/>
      <c r="O30" s="51">
        <v>759</v>
      </c>
      <c r="P30" s="6">
        <f t="shared" si="4"/>
        <v>304</v>
      </c>
      <c r="Q30" s="4">
        <f t="shared" si="5"/>
        <v>755</v>
      </c>
      <c r="R30" s="56">
        <v>40760</v>
      </c>
      <c r="S30" s="3" t="s">
        <v>51</v>
      </c>
      <c r="T30" s="59" t="s">
        <v>110</v>
      </c>
      <c r="U30" s="6">
        <f t="shared" si="6"/>
        <v>1059</v>
      </c>
      <c r="V30" s="6">
        <f t="shared" si="1"/>
        <v>70</v>
      </c>
      <c r="W30" s="4">
        <f t="shared" si="7"/>
        <v>689</v>
      </c>
      <c r="X30" s="6"/>
      <c r="Y30" s="6">
        <f t="shared" si="16"/>
        <v>30</v>
      </c>
      <c r="Z30" s="6">
        <f t="shared" si="8"/>
        <v>659</v>
      </c>
    </row>
    <row r="31" spans="2:26" s="4" customFormat="1">
      <c r="B31" s="15" t="s">
        <v>101</v>
      </c>
      <c r="C31" s="4" t="s">
        <v>102</v>
      </c>
      <c r="D31" s="4" t="s">
        <v>59</v>
      </c>
      <c r="E31" s="4">
        <f t="shared" si="3"/>
        <v>0</v>
      </c>
      <c r="F31" s="4">
        <f t="shared" si="0"/>
        <v>1</v>
      </c>
      <c r="G31" s="4" t="s">
        <v>103</v>
      </c>
      <c r="H31" s="15">
        <v>7</v>
      </c>
      <c r="I31" s="15"/>
      <c r="J31" s="4" t="s">
        <v>104</v>
      </c>
      <c r="K31" s="4" t="s">
        <v>70</v>
      </c>
      <c r="L31" s="7"/>
      <c r="M31" s="5"/>
      <c r="O31" s="51">
        <v>634</v>
      </c>
      <c r="P31" s="6">
        <f t="shared" si="4"/>
        <v>254</v>
      </c>
      <c r="Q31" s="4">
        <f t="shared" si="5"/>
        <v>680</v>
      </c>
      <c r="R31" s="8">
        <v>40769</v>
      </c>
      <c r="S31" s="3" t="s">
        <v>51</v>
      </c>
      <c r="T31" s="59" t="s">
        <v>110</v>
      </c>
      <c r="U31" s="6">
        <f t="shared" si="6"/>
        <v>934</v>
      </c>
      <c r="V31" s="6">
        <f t="shared" si="1"/>
        <v>70</v>
      </c>
      <c r="W31" s="4">
        <f t="shared" si="7"/>
        <v>564</v>
      </c>
      <c r="X31" s="6"/>
      <c r="Y31" s="6">
        <f t="shared" si="16"/>
        <v>30</v>
      </c>
      <c r="Z31" s="6">
        <f t="shared" si="8"/>
        <v>534</v>
      </c>
    </row>
    <row r="32" spans="2:26" s="4" customFormat="1">
      <c r="B32"/>
      <c r="C32" s="15"/>
      <c r="E32" s="4">
        <f t="shared" si="3"/>
        <v>0</v>
      </c>
      <c r="F32" s="4">
        <f t="shared" si="0"/>
        <v>1</v>
      </c>
      <c r="H32" s="15"/>
      <c r="I32" s="15"/>
      <c r="L32" s="7"/>
      <c r="M32" s="5"/>
      <c r="O32" s="51">
        <v>0</v>
      </c>
      <c r="P32" s="6">
        <f t="shared" si="4"/>
        <v>0</v>
      </c>
      <c r="Q32" s="4">
        <f t="shared" si="5"/>
        <v>0</v>
      </c>
      <c r="R32" s="8"/>
      <c r="S32" s="3"/>
      <c r="T32" s="7"/>
      <c r="U32" s="6">
        <f t="shared" si="6"/>
        <v>0</v>
      </c>
      <c r="V32" s="6">
        <f t="shared" si="1"/>
        <v>0</v>
      </c>
      <c r="W32" s="4">
        <f t="shared" si="7"/>
        <v>0</v>
      </c>
      <c r="X32" s="6"/>
      <c r="Y32" s="6">
        <f t="shared" si="16"/>
        <v>0</v>
      </c>
      <c r="Z32" s="6">
        <f t="shared" si="8"/>
        <v>0</v>
      </c>
    </row>
    <row r="33" spans="1:26" s="4" customFormat="1" ht="15.6">
      <c r="B33" s="62" t="s">
        <v>91</v>
      </c>
      <c r="C33" s="4" t="s">
        <v>92</v>
      </c>
      <c r="D33" s="4" t="s">
        <v>53</v>
      </c>
      <c r="E33" s="4">
        <f t="shared" si="3"/>
        <v>0</v>
      </c>
      <c r="F33" s="4">
        <f t="shared" si="0"/>
        <v>1</v>
      </c>
      <c r="G33" s="57" t="s">
        <v>93</v>
      </c>
      <c r="H33" s="15">
        <v>35</v>
      </c>
      <c r="I33" s="15"/>
      <c r="J33" s="4" t="s">
        <v>61</v>
      </c>
      <c r="K33" s="4" t="s">
        <v>70</v>
      </c>
      <c r="L33" s="7"/>
      <c r="M33" s="5"/>
      <c r="O33" s="51">
        <v>1380</v>
      </c>
      <c r="P33" s="6">
        <f t="shared" si="4"/>
        <v>552</v>
      </c>
      <c r="Q33" s="4">
        <f t="shared" si="5"/>
        <v>1128</v>
      </c>
      <c r="R33" s="56">
        <v>40796</v>
      </c>
      <c r="S33" s="3" t="s">
        <v>51</v>
      </c>
      <c r="T33" s="7" t="s">
        <v>110</v>
      </c>
      <c r="U33" s="6">
        <f t="shared" si="6"/>
        <v>1680</v>
      </c>
      <c r="V33" s="6">
        <f t="shared" si="1"/>
        <v>70</v>
      </c>
      <c r="W33" s="4">
        <f t="shared" si="7"/>
        <v>1310</v>
      </c>
      <c r="X33" s="6"/>
      <c r="Y33" s="6">
        <f t="shared" si="16"/>
        <v>30</v>
      </c>
      <c r="Z33" s="6">
        <f t="shared" si="8"/>
        <v>1280</v>
      </c>
    </row>
    <row r="34" spans="1:26" s="4" customFormat="1">
      <c r="B34" s="70" t="s">
        <v>129</v>
      </c>
      <c r="C34" s="4" t="s">
        <v>125</v>
      </c>
      <c r="D34" s="4" t="s">
        <v>53</v>
      </c>
      <c r="E34" s="4">
        <f t="shared" si="3"/>
        <v>0</v>
      </c>
      <c r="F34" s="4">
        <f t="shared" si="0"/>
        <v>1</v>
      </c>
      <c r="G34" s="57" t="s">
        <v>126</v>
      </c>
      <c r="H34" s="15">
        <v>12</v>
      </c>
      <c r="I34" s="15"/>
      <c r="J34" s="4" t="s">
        <v>127</v>
      </c>
      <c r="K34" s="4" t="s">
        <v>128</v>
      </c>
      <c r="L34" s="7"/>
      <c r="M34" s="5"/>
      <c r="O34" s="51">
        <v>822</v>
      </c>
      <c r="P34" s="6">
        <v>0</v>
      </c>
      <c r="Q34" s="4">
        <f>IF(O34&gt;0,((O34+300)-P34),0)</f>
        <v>1122</v>
      </c>
      <c r="R34" s="8" t="s">
        <v>50</v>
      </c>
      <c r="S34" s="3" t="s">
        <v>51</v>
      </c>
      <c r="T34" s="7"/>
      <c r="U34" s="6">
        <f>Q34+P34</f>
        <v>1122</v>
      </c>
      <c r="V34" s="6">
        <f t="shared" si="1"/>
        <v>70</v>
      </c>
      <c r="W34" s="4">
        <f>O34-V34</f>
        <v>752</v>
      </c>
      <c r="X34" s="6"/>
      <c r="Y34" s="6">
        <f t="shared" si="16"/>
        <v>30</v>
      </c>
      <c r="Z34" s="6">
        <f>W34-Y34</f>
        <v>722</v>
      </c>
    </row>
    <row r="35" spans="1:26" s="4" customFormat="1">
      <c r="B35" s="15"/>
      <c r="E35" s="4">
        <f t="shared" si="3"/>
        <v>0</v>
      </c>
      <c r="F35" s="4">
        <f t="shared" si="0"/>
        <v>1</v>
      </c>
      <c r="H35" s="15"/>
      <c r="I35" s="15"/>
      <c r="L35" s="7"/>
      <c r="M35" s="5"/>
      <c r="O35" s="51">
        <v>0</v>
      </c>
      <c r="P35" s="6">
        <f>ROUND((O35*0.4),0)</f>
        <v>0</v>
      </c>
      <c r="Q35" s="4">
        <f>IF(O35&gt;0,((O35+300)-P35),0)</f>
        <v>0</v>
      </c>
      <c r="R35" s="8"/>
      <c r="S35" s="3"/>
      <c r="T35" s="7"/>
      <c r="U35" s="6">
        <f>Q35+P35</f>
        <v>0</v>
      </c>
      <c r="V35" s="6">
        <f t="shared" si="1"/>
        <v>0</v>
      </c>
      <c r="W35" s="4">
        <f>O35-V35</f>
        <v>0</v>
      </c>
      <c r="X35" s="6"/>
      <c r="Y35" s="6">
        <f t="shared" si="16"/>
        <v>0</v>
      </c>
      <c r="Z35" s="6">
        <f>W35-Y35</f>
        <v>0</v>
      </c>
    </row>
    <row r="36" spans="1:26" s="4" customFormat="1">
      <c r="B36" s="15"/>
      <c r="C36" s="9"/>
      <c r="D36" s="15"/>
      <c r="E36" s="4">
        <f>IF(D36=$B$11,H36,0)</f>
        <v>0</v>
      </c>
      <c r="F36" s="4">
        <f>IF(E36&gt;0,0,1)</f>
        <v>1</v>
      </c>
      <c r="G36" s="15"/>
      <c r="H36" s="15">
        <v>0</v>
      </c>
      <c r="I36" s="15"/>
      <c r="J36" s="15"/>
      <c r="L36" s="7"/>
      <c r="M36" s="5"/>
      <c r="O36" s="51">
        <v>0</v>
      </c>
      <c r="P36" s="6">
        <f>ROUND((O36*0.4),0)</f>
        <v>0</v>
      </c>
      <c r="Q36" s="4">
        <f>IF(O36&gt;0,((O36+300)-P36),0)</f>
        <v>0</v>
      </c>
      <c r="R36" s="8"/>
      <c r="S36" s="3"/>
      <c r="T36" s="7"/>
      <c r="U36" s="6">
        <f>Q36+P36</f>
        <v>0</v>
      </c>
      <c r="V36" s="6">
        <f t="shared" si="1"/>
        <v>0</v>
      </c>
      <c r="W36" s="4">
        <f>O36-V36</f>
        <v>0</v>
      </c>
      <c r="X36" s="6"/>
      <c r="Y36" s="6">
        <f t="shared" si="16"/>
        <v>0</v>
      </c>
      <c r="Z36" s="6">
        <f>W36-Y36</f>
        <v>0</v>
      </c>
    </row>
    <row r="37" spans="1:26" s="4" customFormat="1">
      <c r="A37" s="43"/>
      <c r="B37" s="44"/>
      <c r="C37" s="45"/>
      <c r="D37" s="44"/>
      <c r="E37" s="44"/>
      <c r="F37" s="44"/>
      <c r="G37" s="44"/>
      <c r="H37" s="44"/>
      <c r="I37" s="44"/>
      <c r="J37" s="44"/>
      <c r="K37" s="43"/>
      <c r="L37" s="46"/>
      <c r="M37" s="47"/>
      <c r="N37" s="43"/>
      <c r="O37" s="48">
        <f>SUM(O15:O36)</f>
        <v>16637</v>
      </c>
      <c r="P37" s="49"/>
      <c r="Q37" s="43"/>
      <c r="R37" s="50"/>
      <c r="S37" s="48"/>
      <c r="T37" s="46"/>
      <c r="U37" s="49"/>
      <c r="V37" s="49"/>
      <c r="W37" s="43"/>
      <c r="X37" s="49"/>
      <c r="Y37" s="49"/>
      <c r="Z37" s="48">
        <f>SUM(Z15:Z36)</f>
        <v>15097</v>
      </c>
    </row>
    <row r="38" spans="1:26" s="4" customFormat="1" ht="23.4">
      <c r="A38" s="29"/>
      <c r="B38" s="26">
        <v>2012</v>
      </c>
      <c r="C38" s="27"/>
      <c r="D38" s="28"/>
      <c r="E38" s="28"/>
      <c r="F38" s="28"/>
      <c r="G38" s="28"/>
      <c r="H38" s="28"/>
      <c r="I38" s="28"/>
      <c r="J38" s="28"/>
      <c r="K38" s="29"/>
      <c r="L38" s="30"/>
      <c r="M38" s="31"/>
      <c r="N38" s="29"/>
      <c r="O38" s="32"/>
      <c r="P38" s="32"/>
      <c r="Q38" s="29"/>
      <c r="R38" s="33"/>
      <c r="S38" s="34"/>
      <c r="T38" s="30"/>
      <c r="U38" s="32"/>
      <c r="V38" s="32"/>
      <c r="W38" s="29"/>
      <c r="X38" s="32"/>
      <c r="Y38" s="32"/>
      <c r="Z38" s="32"/>
    </row>
    <row r="39" spans="1:26" s="4" customFormat="1">
      <c r="B39" s="66"/>
      <c r="E39" s="4">
        <f>IF(D39=$B$11,H39,0)</f>
        <v>0</v>
      </c>
      <c r="F39" s="4">
        <f>IF(E39&gt;0,0,1)</f>
        <v>1</v>
      </c>
      <c r="H39" s="15"/>
      <c r="I39" s="15"/>
      <c r="L39" s="7"/>
      <c r="M39" s="5"/>
      <c r="O39" s="51">
        <v>0</v>
      </c>
      <c r="P39" s="6">
        <f>ROUND((O39*0.4),0)</f>
        <v>0</v>
      </c>
      <c r="Q39" s="4">
        <f t="shared" ref="Q39:Q44" si="17">IF(O39&gt;0,((O39+300)-P39),0)</f>
        <v>0</v>
      </c>
      <c r="R39" s="67"/>
      <c r="S39" s="3"/>
      <c r="T39" s="59"/>
      <c r="U39" s="6">
        <f t="shared" ref="U39:U44" si="18">Q39+P39</f>
        <v>0</v>
      </c>
      <c r="V39" s="6">
        <f t="shared" ref="V39:V55" si="19">IF(H39&gt;0,70,0)</f>
        <v>0</v>
      </c>
      <c r="W39" s="4">
        <f t="shared" ref="W39:W44" si="20">O39-V39</f>
        <v>0</v>
      </c>
      <c r="X39" s="6"/>
      <c r="Y39" s="6">
        <f t="shared" ref="Y39:Y55" si="21">IF(H39&gt;0,30*F39,0)</f>
        <v>0</v>
      </c>
      <c r="Z39" s="6">
        <f t="shared" ref="Z39:Z44" si="22">W39-Y39</f>
        <v>0</v>
      </c>
    </row>
    <row r="40" spans="1:26" s="4" customFormat="1">
      <c r="B40" s="72" t="s">
        <v>131</v>
      </c>
      <c r="C40" s="4" t="s">
        <v>132</v>
      </c>
      <c r="D40" s="4" t="s">
        <v>59</v>
      </c>
      <c r="G40" s="4" t="s">
        <v>133</v>
      </c>
      <c r="H40" s="15">
        <v>7</v>
      </c>
      <c r="I40" s="15"/>
      <c r="J40" s="57" t="s">
        <v>61</v>
      </c>
      <c r="K40" s="4" t="s">
        <v>118</v>
      </c>
      <c r="L40" s="7"/>
      <c r="M40" s="5"/>
      <c r="O40" s="51">
        <v>431</v>
      </c>
      <c r="P40" s="6">
        <f>ROUND((O40*0.4),0)</f>
        <v>172</v>
      </c>
      <c r="Q40" s="4">
        <f>IF(O40&gt;0,((O40+300)-P40),0)</f>
        <v>559</v>
      </c>
      <c r="R40" s="67" t="s">
        <v>50</v>
      </c>
      <c r="S40" s="3"/>
      <c r="T40" s="59" t="s">
        <v>110</v>
      </c>
      <c r="U40" s="6">
        <f>Q40+P40</f>
        <v>731</v>
      </c>
      <c r="V40" s="6">
        <f t="shared" si="19"/>
        <v>70</v>
      </c>
      <c r="W40" s="4">
        <f>O40-V40</f>
        <v>361</v>
      </c>
      <c r="X40" s="6"/>
      <c r="Y40" s="6">
        <f t="shared" si="21"/>
        <v>0</v>
      </c>
      <c r="Z40" s="6">
        <f>W40-Y40</f>
        <v>361</v>
      </c>
    </row>
    <row r="41" spans="1:26" s="57" customFormat="1">
      <c r="B41" s="57" t="s">
        <v>157</v>
      </c>
      <c r="C41" s="4" t="s">
        <v>58</v>
      </c>
      <c r="D41" s="57" t="s">
        <v>59</v>
      </c>
      <c r="E41" s="57">
        <f>IF(D41=$B$11,H41,0)</f>
        <v>0</v>
      </c>
      <c r="F41" s="57">
        <f>IF(E41&gt;0,0,1)</f>
        <v>1</v>
      </c>
      <c r="G41" s="57" t="s">
        <v>116</v>
      </c>
      <c r="H41" s="58">
        <v>14</v>
      </c>
      <c r="I41" s="58"/>
      <c r="J41" s="57" t="s">
        <v>61</v>
      </c>
      <c r="K41" s="57" t="s">
        <v>117</v>
      </c>
      <c r="L41" s="59"/>
      <c r="M41" s="60"/>
      <c r="O41" s="51">
        <v>1363</v>
      </c>
      <c r="P41" s="61">
        <v>300</v>
      </c>
      <c r="Q41" s="57">
        <f t="shared" si="17"/>
        <v>1363</v>
      </c>
      <c r="R41" s="56">
        <v>40605</v>
      </c>
      <c r="S41" s="64" t="s">
        <v>51</v>
      </c>
      <c r="T41" s="90" t="s">
        <v>110</v>
      </c>
      <c r="U41" s="61">
        <f t="shared" si="18"/>
        <v>1663</v>
      </c>
      <c r="V41" s="61">
        <f t="shared" si="19"/>
        <v>70</v>
      </c>
      <c r="W41" s="57">
        <f t="shared" si="20"/>
        <v>1293</v>
      </c>
      <c r="X41" s="61"/>
      <c r="Y41" s="61">
        <f t="shared" si="21"/>
        <v>30</v>
      </c>
      <c r="Z41" s="61">
        <f t="shared" si="22"/>
        <v>1263</v>
      </c>
    </row>
    <row r="42" spans="1:26" s="57" customFormat="1">
      <c r="B42" s="15" t="s">
        <v>136</v>
      </c>
      <c r="C42" s="4" t="s">
        <v>137</v>
      </c>
      <c r="D42" s="57" t="s">
        <v>59</v>
      </c>
      <c r="E42" s="57">
        <f>IF(D42=$B$11,H42,0)</f>
        <v>0</v>
      </c>
      <c r="F42" s="57">
        <f>IF(E42&gt;0,0,1)</f>
        <v>1</v>
      </c>
      <c r="G42" s="57" t="s">
        <v>134</v>
      </c>
      <c r="H42" s="58">
        <v>7</v>
      </c>
      <c r="I42" s="58"/>
      <c r="J42" s="57" t="s">
        <v>135</v>
      </c>
      <c r="K42" s="4" t="s">
        <v>118</v>
      </c>
      <c r="L42" s="59"/>
      <c r="M42" s="60"/>
      <c r="O42" s="51">
        <v>759</v>
      </c>
      <c r="P42" s="6">
        <f t="shared" ref="P42:P49" si="23">ROUND((O42*0.4),0)</f>
        <v>304</v>
      </c>
      <c r="Q42" s="57">
        <f>IF(O42&gt;0,((O42+300)-P42),0)</f>
        <v>755</v>
      </c>
      <c r="R42" s="56">
        <v>40647</v>
      </c>
      <c r="S42" s="64" t="s">
        <v>51</v>
      </c>
      <c r="T42" s="59" t="s">
        <v>110</v>
      </c>
      <c r="U42" s="61">
        <f>Q42+P42</f>
        <v>1059</v>
      </c>
      <c r="V42" s="61">
        <f t="shared" si="19"/>
        <v>70</v>
      </c>
      <c r="W42" s="57">
        <f>O42-V42</f>
        <v>689</v>
      </c>
      <c r="X42" s="61"/>
      <c r="Y42" s="61">
        <f t="shared" si="21"/>
        <v>30</v>
      </c>
      <c r="Z42" s="61">
        <f>W42-Y42</f>
        <v>659</v>
      </c>
    </row>
    <row r="43" spans="1:26" s="4" customFormat="1">
      <c r="B43" s="71" t="s">
        <v>130</v>
      </c>
      <c r="C43" s="4" t="s">
        <v>158</v>
      </c>
      <c r="D43" s="15" t="s">
        <v>53</v>
      </c>
      <c r="E43" s="4">
        <f>IF(D43=$B$11,H43,0)</f>
        <v>0</v>
      </c>
      <c r="F43" s="4">
        <f>IF(E43&gt;0,0,1)</f>
        <v>1</v>
      </c>
      <c r="G43" s="15" t="s">
        <v>124</v>
      </c>
      <c r="H43" s="15">
        <v>14</v>
      </c>
      <c r="I43" s="15"/>
      <c r="J43" s="15" t="s">
        <v>61</v>
      </c>
      <c r="K43" s="57" t="s">
        <v>117</v>
      </c>
      <c r="L43" s="7"/>
      <c r="M43" s="5"/>
      <c r="O43" s="51">
        <v>1610</v>
      </c>
      <c r="P43" s="6">
        <f t="shared" si="23"/>
        <v>644</v>
      </c>
      <c r="Q43" s="4">
        <f>IF(O43&gt;0,((O43+300)-P43),0)</f>
        <v>1266</v>
      </c>
      <c r="R43" s="56">
        <v>40649</v>
      </c>
      <c r="S43" s="64" t="s">
        <v>51</v>
      </c>
      <c r="T43" s="59" t="s">
        <v>21</v>
      </c>
      <c r="U43" s="6">
        <f>Q43+P43</f>
        <v>1910</v>
      </c>
      <c r="V43" s="6">
        <f t="shared" si="19"/>
        <v>70</v>
      </c>
      <c r="W43" s="4">
        <f>O43-V43</f>
        <v>1540</v>
      </c>
      <c r="X43" s="6"/>
      <c r="Y43" s="6">
        <f t="shared" si="21"/>
        <v>30</v>
      </c>
      <c r="Z43" s="6">
        <f>W43-Y43</f>
        <v>1510</v>
      </c>
    </row>
    <row r="44" spans="1:26" s="4" customFormat="1">
      <c r="B44" s="57" t="s">
        <v>120</v>
      </c>
      <c r="C44" s="4" t="s">
        <v>121</v>
      </c>
      <c r="D44" s="57" t="s">
        <v>59</v>
      </c>
      <c r="E44" s="57">
        <f>IF(D44=$B$11,H44,0)</f>
        <v>0</v>
      </c>
      <c r="F44" s="57">
        <f>IF(E44&gt;0,0,1)</f>
        <v>1</v>
      </c>
      <c r="G44" s="57" t="s">
        <v>122</v>
      </c>
      <c r="H44" s="58">
        <v>11</v>
      </c>
      <c r="I44" s="58"/>
      <c r="J44" s="57" t="s">
        <v>123</v>
      </c>
      <c r="K44" s="57" t="s">
        <v>118</v>
      </c>
      <c r="L44" s="59"/>
      <c r="M44" s="60"/>
      <c r="N44" s="57"/>
      <c r="O44" s="51">
        <v>1642</v>
      </c>
      <c r="P44" s="6">
        <f t="shared" si="23"/>
        <v>657</v>
      </c>
      <c r="Q44" s="4">
        <f t="shared" si="17"/>
        <v>1285</v>
      </c>
      <c r="R44" s="56">
        <v>41037</v>
      </c>
      <c r="S44" s="3" t="s">
        <v>51</v>
      </c>
      <c r="T44" s="65" t="s">
        <v>21</v>
      </c>
      <c r="U44" s="6">
        <f t="shared" si="18"/>
        <v>1942</v>
      </c>
      <c r="V44" s="6">
        <f t="shared" si="19"/>
        <v>70</v>
      </c>
      <c r="W44" s="4">
        <f t="shared" si="20"/>
        <v>1572</v>
      </c>
      <c r="X44" s="6"/>
      <c r="Y44" s="6">
        <f t="shared" si="21"/>
        <v>30</v>
      </c>
      <c r="Z44" s="6">
        <f t="shared" si="22"/>
        <v>1542</v>
      </c>
    </row>
    <row r="45" spans="1:26" s="4" customFormat="1">
      <c r="B45" s="68" t="s">
        <v>111</v>
      </c>
      <c r="C45" s="4" t="s">
        <v>113</v>
      </c>
      <c r="D45" s="4" t="s">
        <v>59</v>
      </c>
      <c r="E45" s="4">
        <f>IF(D45=$B$11,H45,0)</f>
        <v>0</v>
      </c>
      <c r="F45" s="4">
        <f t="shared" ref="F45:F54" si="24">IF(E45&gt;0,0,1)</f>
        <v>1</v>
      </c>
      <c r="G45" s="57" t="s">
        <v>112</v>
      </c>
      <c r="H45" s="15">
        <v>9</v>
      </c>
      <c r="I45" s="15"/>
      <c r="J45" s="4" t="s">
        <v>56</v>
      </c>
      <c r="K45" s="4" t="s">
        <v>118</v>
      </c>
      <c r="L45" s="7"/>
      <c r="M45" s="5"/>
      <c r="O45" s="51">
        <v>1364</v>
      </c>
      <c r="P45" s="6">
        <f t="shared" si="23"/>
        <v>546</v>
      </c>
      <c r="Q45" s="4">
        <f t="shared" ref="Q45:Q55" si="25">IF(O45&gt;0,((O45+300)-P45),0)</f>
        <v>1118</v>
      </c>
      <c r="R45" s="56">
        <v>41051</v>
      </c>
      <c r="S45" s="3" t="s">
        <v>51</v>
      </c>
      <c r="T45" s="59" t="s">
        <v>110</v>
      </c>
      <c r="U45" s="6">
        <f t="shared" ref="U45:U55" si="26">Q45+P45</f>
        <v>1664</v>
      </c>
      <c r="V45" s="6">
        <f t="shared" si="19"/>
        <v>70</v>
      </c>
      <c r="W45" s="4">
        <f t="shared" ref="W45:W55" si="27">O45-V45</f>
        <v>1294</v>
      </c>
      <c r="X45" s="6"/>
      <c r="Y45" s="6">
        <f t="shared" si="21"/>
        <v>30</v>
      </c>
      <c r="Z45" s="6">
        <f t="shared" ref="Z45:Z55" si="28">W45-Y45</f>
        <v>1264</v>
      </c>
    </row>
    <row r="46" spans="1:26" s="4" customFormat="1">
      <c r="B46" s="73" t="s">
        <v>144</v>
      </c>
      <c r="C46" s="4" t="s">
        <v>145</v>
      </c>
      <c r="D46" s="15" t="s">
        <v>59</v>
      </c>
      <c r="E46" s="4">
        <f t="shared" ref="E46:E54" si="29">IF(D46=$B$11,H46,0)</f>
        <v>0</v>
      </c>
      <c r="F46" s="4">
        <f t="shared" si="24"/>
        <v>1</v>
      </c>
      <c r="G46" s="58" t="s">
        <v>138</v>
      </c>
      <c r="H46" s="15">
        <v>14</v>
      </c>
      <c r="I46" s="15"/>
      <c r="J46" s="15" t="s">
        <v>139</v>
      </c>
      <c r="K46" s="4" t="s">
        <v>118</v>
      </c>
      <c r="L46" s="7"/>
      <c r="M46" s="5"/>
      <c r="O46" s="51">
        <v>2187</v>
      </c>
      <c r="P46" s="6">
        <f t="shared" si="23"/>
        <v>875</v>
      </c>
      <c r="Q46" s="4">
        <f t="shared" si="25"/>
        <v>1612</v>
      </c>
      <c r="R46" s="56">
        <v>41063</v>
      </c>
      <c r="S46" s="3" t="s">
        <v>51</v>
      </c>
      <c r="T46" s="65" t="s">
        <v>176</v>
      </c>
      <c r="U46" s="6">
        <f t="shared" si="26"/>
        <v>2487</v>
      </c>
      <c r="V46" s="6">
        <f t="shared" si="19"/>
        <v>70</v>
      </c>
      <c r="W46" s="4">
        <f t="shared" si="27"/>
        <v>2117</v>
      </c>
      <c r="X46" s="6"/>
      <c r="Y46" s="6">
        <f t="shared" si="21"/>
        <v>30</v>
      </c>
      <c r="Z46" s="6">
        <f t="shared" si="28"/>
        <v>2087</v>
      </c>
    </row>
    <row r="47" spans="1:26" s="57" customFormat="1">
      <c r="B47" s="57" t="s">
        <v>150</v>
      </c>
      <c r="C47" s="4" t="s">
        <v>151</v>
      </c>
      <c r="D47" s="58" t="s">
        <v>48</v>
      </c>
      <c r="E47" s="57">
        <f t="shared" si="29"/>
        <v>0</v>
      </c>
      <c r="F47" s="57">
        <f t="shared" si="24"/>
        <v>1</v>
      </c>
      <c r="G47" s="36" t="s">
        <v>152</v>
      </c>
      <c r="H47" s="58">
        <v>10</v>
      </c>
      <c r="I47" s="58"/>
      <c r="J47" s="58" t="s">
        <v>61</v>
      </c>
      <c r="K47" s="57" t="s">
        <v>118</v>
      </c>
      <c r="L47" s="59"/>
      <c r="M47" s="60"/>
      <c r="O47" s="51">
        <v>1503</v>
      </c>
      <c r="P47" s="61">
        <f>ROUND((O47*0.4),0)</f>
        <v>601</v>
      </c>
      <c r="Q47" s="57">
        <f t="shared" si="25"/>
        <v>1202</v>
      </c>
      <c r="R47" s="56">
        <v>41077</v>
      </c>
      <c r="S47" s="64" t="s">
        <v>51</v>
      </c>
      <c r="T47" s="59" t="s">
        <v>180</v>
      </c>
      <c r="U47" s="61">
        <f t="shared" si="26"/>
        <v>1803</v>
      </c>
      <c r="V47" s="61">
        <f t="shared" si="19"/>
        <v>70</v>
      </c>
      <c r="W47" s="57">
        <f t="shared" si="27"/>
        <v>1433</v>
      </c>
      <c r="X47" s="61"/>
      <c r="Y47" s="61">
        <f t="shared" si="21"/>
        <v>30</v>
      </c>
      <c r="Z47" s="61">
        <f t="shared" si="28"/>
        <v>1403</v>
      </c>
    </row>
    <row r="48" spans="1:26" s="4" customFormat="1">
      <c r="B48" s="74" t="s">
        <v>156</v>
      </c>
      <c r="C48" s="4" t="s">
        <v>146</v>
      </c>
      <c r="D48" s="15" t="s">
        <v>59</v>
      </c>
      <c r="E48" s="4">
        <f>IF(D48=$B$11,H48,0)</f>
        <v>0</v>
      </c>
      <c r="F48" s="4">
        <f>IF(E48&gt;0,0,1)</f>
        <v>1</v>
      </c>
      <c r="G48" s="58" t="s">
        <v>147</v>
      </c>
      <c r="H48" s="15">
        <v>7</v>
      </c>
      <c r="I48" s="15"/>
      <c r="J48" s="15" t="s">
        <v>148</v>
      </c>
      <c r="K48" s="4" t="s">
        <v>118</v>
      </c>
      <c r="L48" s="7"/>
      <c r="M48" s="5"/>
      <c r="O48" s="51">
        <v>1087</v>
      </c>
      <c r="P48" s="61">
        <f>ROUND((O48*0.4),0)</f>
        <v>435</v>
      </c>
      <c r="Q48" s="4">
        <f>IF(O48&gt;0,((O48+300)-P48),0)</f>
        <v>952</v>
      </c>
      <c r="R48" s="56">
        <v>41091</v>
      </c>
      <c r="S48" s="3" t="s">
        <v>51</v>
      </c>
      <c r="T48" s="59" t="s">
        <v>110</v>
      </c>
      <c r="U48" s="6">
        <f>Q48+P48</f>
        <v>1387</v>
      </c>
      <c r="V48" s="6">
        <f t="shared" si="19"/>
        <v>70</v>
      </c>
      <c r="W48" s="4">
        <f>O48-V48</f>
        <v>1017</v>
      </c>
      <c r="X48" s="6"/>
      <c r="Y48" s="6">
        <f t="shared" si="21"/>
        <v>30</v>
      </c>
      <c r="Z48" s="6">
        <f>W48-Y48</f>
        <v>987</v>
      </c>
    </row>
    <row r="49" spans="1:26" s="4" customFormat="1">
      <c r="B49" s="9" t="s">
        <v>140</v>
      </c>
      <c r="C49" s="4" t="s">
        <v>141</v>
      </c>
      <c r="D49" s="15" t="s">
        <v>53</v>
      </c>
      <c r="E49" s="4">
        <f t="shared" si="29"/>
        <v>0</v>
      </c>
      <c r="F49" s="4">
        <f t="shared" si="24"/>
        <v>1</v>
      </c>
      <c r="G49" s="58" t="s">
        <v>142</v>
      </c>
      <c r="H49" s="15">
        <v>14</v>
      </c>
      <c r="I49" s="15"/>
      <c r="J49" s="15" t="s">
        <v>143</v>
      </c>
      <c r="K49" s="4" t="s">
        <v>118</v>
      </c>
      <c r="L49" s="7"/>
      <c r="M49" s="5"/>
      <c r="O49" s="51">
        <v>1403</v>
      </c>
      <c r="P49" s="6">
        <f t="shared" si="23"/>
        <v>561</v>
      </c>
      <c r="Q49" s="4">
        <f t="shared" si="25"/>
        <v>1142</v>
      </c>
      <c r="R49" s="56">
        <v>41098</v>
      </c>
      <c r="S49" s="3" t="s">
        <v>51</v>
      </c>
      <c r="T49" s="59" t="s">
        <v>110</v>
      </c>
      <c r="U49" s="6">
        <f t="shared" si="26"/>
        <v>1703</v>
      </c>
      <c r="V49" s="6">
        <f t="shared" si="19"/>
        <v>70</v>
      </c>
      <c r="W49" s="4">
        <f t="shared" si="27"/>
        <v>1333</v>
      </c>
      <c r="X49" s="6"/>
      <c r="Y49" s="6">
        <f t="shared" si="21"/>
        <v>30</v>
      </c>
      <c r="Z49" s="6">
        <f t="shared" si="28"/>
        <v>1303</v>
      </c>
    </row>
    <row r="50" spans="1:26" s="4" customFormat="1">
      <c r="B50" s="57" t="s">
        <v>167</v>
      </c>
      <c r="C50" s="57" t="s">
        <v>168</v>
      </c>
      <c r="D50" s="57" t="s">
        <v>48</v>
      </c>
      <c r="E50" s="57">
        <f>IF(D50=$B$11,H50,0)</f>
        <v>0</v>
      </c>
      <c r="F50" s="57">
        <f>IF(E50&gt;0,0,1)</f>
        <v>1</v>
      </c>
      <c r="G50" s="57" t="s">
        <v>166</v>
      </c>
      <c r="H50" s="58">
        <v>8</v>
      </c>
      <c r="I50" s="58"/>
      <c r="J50" s="58" t="s">
        <v>61</v>
      </c>
      <c r="K50" s="57" t="s">
        <v>118</v>
      </c>
      <c r="L50" s="59"/>
      <c r="M50" s="60"/>
      <c r="N50" s="57"/>
      <c r="O50" s="75">
        <v>759</v>
      </c>
      <c r="P50" s="61">
        <v>0</v>
      </c>
      <c r="Q50" s="4">
        <f>IF(O50&gt;0,((O50+300)-P50),0)</f>
        <v>1059</v>
      </c>
      <c r="R50" s="56">
        <v>41133</v>
      </c>
      <c r="S50" s="3" t="s">
        <v>51</v>
      </c>
      <c r="T50" s="59" t="s">
        <v>110</v>
      </c>
      <c r="U50" s="6">
        <f>Q50+P50</f>
        <v>1059</v>
      </c>
      <c r="V50" s="6">
        <f t="shared" si="19"/>
        <v>70</v>
      </c>
      <c r="W50" s="4">
        <f>O50-V50</f>
        <v>689</v>
      </c>
      <c r="X50" s="6"/>
      <c r="Y50" s="6">
        <f t="shared" si="21"/>
        <v>30</v>
      </c>
      <c r="Z50" s="6">
        <f>W50-Y50</f>
        <v>659</v>
      </c>
    </row>
    <row r="51" spans="1:26" s="4" customFormat="1">
      <c r="B51" s="57" t="s">
        <v>155</v>
      </c>
      <c r="C51" s="4" t="s">
        <v>153</v>
      </c>
      <c r="D51" s="58" t="s">
        <v>59</v>
      </c>
      <c r="E51" s="57">
        <f t="shared" si="29"/>
        <v>0</v>
      </c>
      <c r="F51" s="57">
        <f t="shared" si="24"/>
        <v>1</v>
      </c>
      <c r="G51" s="58" t="s">
        <v>154</v>
      </c>
      <c r="H51" s="58">
        <v>10</v>
      </c>
      <c r="I51" s="58"/>
      <c r="J51" s="58" t="s">
        <v>61</v>
      </c>
      <c r="K51" s="57" t="s">
        <v>118</v>
      </c>
      <c r="L51" s="59"/>
      <c r="M51" s="60"/>
      <c r="N51" s="57"/>
      <c r="O51" s="75">
        <v>740</v>
      </c>
      <c r="P51" s="61">
        <f>ROUND((O51*0.4),0)</f>
        <v>296</v>
      </c>
      <c r="Q51" s="4">
        <f t="shared" si="25"/>
        <v>744</v>
      </c>
      <c r="R51" s="56">
        <v>41122</v>
      </c>
      <c r="S51" s="3" t="s">
        <v>51</v>
      </c>
      <c r="T51" s="59" t="s">
        <v>21</v>
      </c>
      <c r="U51" s="6">
        <f t="shared" si="26"/>
        <v>1040</v>
      </c>
      <c r="V51" s="6">
        <f t="shared" si="19"/>
        <v>70</v>
      </c>
      <c r="W51" s="4">
        <f t="shared" si="27"/>
        <v>670</v>
      </c>
      <c r="X51" s="6"/>
      <c r="Y51" s="6">
        <f t="shared" si="21"/>
        <v>30</v>
      </c>
      <c r="Z51" s="6">
        <f t="shared" si="28"/>
        <v>640</v>
      </c>
    </row>
    <row r="52" spans="1:26" s="4" customFormat="1">
      <c r="B52" s="15" t="s">
        <v>160</v>
      </c>
      <c r="C52" s="4" t="s">
        <v>159</v>
      </c>
      <c r="D52" s="58" t="s">
        <v>53</v>
      </c>
      <c r="E52" s="4">
        <f t="shared" si="29"/>
        <v>0</v>
      </c>
      <c r="F52" s="4">
        <f t="shared" si="24"/>
        <v>1</v>
      </c>
      <c r="G52" s="58" t="s">
        <v>161</v>
      </c>
      <c r="H52" s="15">
        <v>7</v>
      </c>
      <c r="I52" s="15"/>
      <c r="J52" s="58" t="s">
        <v>61</v>
      </c>
      <c r="K52" s="57" t="s">
        <v>118</v>
      </c>
      <c r="L52" s="7"/>
      <c r="M52" s="5"/>
      <c r="O52" s="51">
        <v>610</v>
      </c>
      <c r="P52" s="6">
        <f>ROUND((O52*0.4),0)</f>
        <v>244</v>
      </c>
      <c r="Q52" s="4">
        <f t="shared" si="25"/>
        <v>666</v>
      </c>
      <c r="R52" s="56">
        <v>41135</v>
      </c>
      <c r="S52" s="3" t="s">
        <v>51</v>
      </c>
      <c r="T52" s="59" t="s">
        <v>110</v>
      </c>
      <c r="U52" s="6">
        <f t="shared" si="26"/>
        <v>910</v>
      </c>
      <c r="V52" s="6">
        <f t="shared" si="19"/>
        <v>70</v>
      </c>
      <c r="W52" s="4">
        <f t="shared" si="27"/>
        <v>540</v>
      </c>
      <c r="X52" s="6"/>
      <c r="Y52" s="6">
        <f t="shared" si="21"/>
        <v>30</v>
      </c>
      <c r="Z52" s="6">
        <f t="shared" si="28"/>
        <v>510</v>
      </c>
    </row>
    <row r="53" spans="1:26" s="4" customFormat="1">
      <c r="A53" s="57"/>
      <c r="B53" s="86" t="s">
        <v>190</v>
      </c>
      <c r="C53" s="4" t="s">
        <v>191</v>
      </c>
      <c r="D53" s="57" t="s">
        <v>53</v>
      </c>
      <c r="E53" s="57">
        <f>IF(D53=$B$11,H53,0)</f>
        <v>0</v>
      </c>
      <c r="F53" s="57">
        <f>IF(E53&gt;0,0,1)</f>
        <v>1</v>
      </c>
      <c r="G53" s="57" t="s">
        <v>192</v>
      </c>
      <c r="H53" s="58">
        <v>7</v>
      </c>
      <c r="I53" s="58"/>
      <c r="J53" s="58" t="s">
        <v>61</v>
      </c>
      <c r="K53" s="57" t="s">
        <v>193</v>
      </c>
      <c r="L53" s="59"/>
      <c r="M53" s="60"/>
      <c r="N53" s="57"/>
      <c r="O53" s="51">
        <v>552</v>
      </c>
      <c r="P53" s="6">
        <f>ROUND((O53*0.4),0)</f>
        <v>221</v>
      </c>
      <c r="Q53" s="4">
        <f t="shared" si="25"/>
        <v>631</v>
      </c>
      <c r="R53" s="67" t="s">
        <v>50</v>
      </c>
      <c r="S53" s="3" t="s">
        <v>51</v>
      </c>
      <c r="T53" s="59" t="s">
        <v>110</v>
      </c>
      <c r="U53" s="6">
        <f t="shared" si="26"/>
        <v>852</v>
      </c>
      <c r="V53" s="6">
        <f t="shared" si="19"/>
        <v>70</v>
      </c>
      <c r="W53" s="4">
        <f t="shared" si="27"/>
        <v>482</v>
      </c>
      <c r="X53" s="6"/>
      <c r="Y53" s="6">
        <f t="shared" si="21"/>
        <v>30</v>
      </c>
      <c r="Z53" s="6">
        <f t="shared" si="28"/>
        <v>452</v>
      </c>
    </row>
    <row r="54" spans="1:26" s="4" customFormat="1" ht="15" thickBot="1">
      <c r="A54" s="57"/>
      <c r="B54" s="93" t="s">
        <v>185</v>
      </c>
      <c r="C54" s="4" t="s">
        <v>186</v>
      </c>
      <c r="D54" s="58" t="s">
        <v>48</v>
      </c>
      <c r="E54" s="57">
        <f t="shared" si="29"/>
        <v>0</v>
      </c>
      <c r="F54" s="57">
        <f t="shared" si="24"/>
        <v>1</v>
      </c>
      <c r="G54" s="58" t="s">
        <v>184</v>
      </c>
      <c r="H54" s="58">
        <v>15</v>
      </c>
      <c r="I54" s="58"/>
      <c r="J54" s="58" t="s">
        <v>61</v>
      </c>
      <c r="K54" s="57" t="s">
        <v>193</v>
      </c>
      <c r="L54" s="59"/>
      <c r="M54" s="60"/>
      <c r="N54" s="57"/>
      <c r="O54" s="51">
        <v>725</v>
      </c>
      <c r="P54" s="6">
        <f>ROUND((O54*0.4),0)</f>
        <v>290</v>
      </c>
      <c r="Q54" s="4">
        <f>IF(O54&gt;0,((O54+300)-P54),0)</f>
        <v>735</v>
      </c>
      <c r="R54" s="67" t="s">
        <v>50</v>
      </c>
      <c r="S54" s="3" t="s">
        <v>51</v>
      </c>
      <c r="T54" s="59" t="s">
        <v>110</v>
      </c>
      <c r="U54" s="6">
        <f>Q54+P54</f>
        <v>1025</v>
      </c>
      <c r="V54" s="6">
        <f t="shared" si="19"/>
        <v>70</v>
      </c>
      <c r="W54" s="4">
        <f>O54-V54</f>
        <v>655</v>
      </c>
      <c r="X54" s="6"/>
      <c r="Y54" s="6">
        <f t="shared" si="21"/>
        <v>30</v>
      </c>
      <c r="Z54" s="6">
        <f>W54-Y54</f>
        <v>625</v>
      </c>
    </row>
    <row r="55" spans="1:26" s="4" customFormat="1">
      <c r="A55" s="57"/>
      <c r="B55" s="86"/>
      <c r="C55" s="86"/>
      <c r="D55" s="58"/>
      <c r="E55" s="57">
        <f>IF(D55=$B$11,H55,0)</f>
        <v>0</v>
      </c>
      <c r="F55" s="57">
        <f>IF(E55&gt;0,0,1)</f>
        <v>1</v>
      </c>
      <c r="G55" s="57"/>
      <c r="H55" s="58"/>
      <c r="I55" s="58"/>
      <c r="J55" s="58"/>
      <c r="K55" s="57"/>
      <c r="L55" s="7"/>
      <c r="M55" s="5"/>
      <c r="O55" s="51">
        <v>0</v>
      </c>
      <c r="P55" s="6">
        <f>ROUND((O55*0.4),0)</f>
        <v>0</v>
      </c>
      <c r="Q55" s="4">
        <f t="shared" si="25"/>
        <v>0</v>
      </c>
      <c r="R55" s="67"/>
      <c r="S55" s="3"/>
      <c r="T55" s="59"/>
      <c r="U55" s="6">
        <f t="shared" si="26"/>
        <v>0</v>
      </c>
      <c r="V55" s="6">
        <f t="shared" si="19"/>
        <v>0</v>
      </c>
      <c r="W55" s="4">
        <f t="shared" si="27"/>
        <v>0</v>
      </c>
      <c r="X55" s="6"/>
      <c r="Y55" s="6">
        <f t="shared" si="21"/>
        <v>0</v>
      </c>
      <c r="Z55" s="6">
        <f t="shared" si="28"/>
        <v>0</v>
      </c>
    </row>
    <row r="56" spans="1:26" s="4" customFormat="1">
      <c r="A56" s="43"/>
      <c r="B56" s="44"/>
      <c r="C56" s="45"/>
      <c r="D56" s="44"/>
      <c r="E56" s="44"/>
      <c r="F56" s="44"/>
      <c r="G56" s="44"/>
      <c r="H56" s="44"/>
      <c r="I56" s="44"/>
      <c r="J56" s="44"/>
      <c r="K56" s="43"/>
      <c r="L56" s="46"/>
      <c r="M56" s="47"/>
      <c r="N56" s="43"/>
      <c r="O56" s="48">
        <f>SUM(O39:O55)</f>
        <v>16735</v>
      </c>
      <c r="P56" s="49"/>
      <c r="Q56" s="43"/>
      <c r="R56" s="50"/>
      <c r="S56" s="48"/>
      <c r="T56" s="46"/>
      <c r="U56" s="49"/>
      <c r="V56" s="49"/>
      <c r="W56" s="43"/>
      <c r="X56" s="49"/>
      <c r="Y56" s="49"/>
      <c r="Z56" s="48">
        <f>SUM(Z39:Z55)</f>
        <v>15265</v>
      </c>
    </row>
    <row r="57" spans="1:26" s="4" customFormat="1" ht="23.4">
      <c r="A57" s="76"/>
      <c r="B57" s="83">
        <v>2013</v>
      </c>
      <c r="C57" s="78"/>
      <c r="D57" s="77"/>
      <c r="E57" s="77"/>
      <c r="F57" s="77"/>
      <c r="G57" s="77"/>
      <c r="H57" s="77"/>
      <c r="I57" s="77"/>
      <c r="J57" s="77"/>
      <c r="K57" s="76"/>
      <c r="L57" s="79"/>
      <c r="M57" s="80"/>
      <c r="N57" s="76"/>
      <c r="O57" s="82" t="s">
        <v>17</v>
      </c>
      <c r="P57" s="82" t="s">
        <v>18</v>
      </c>
      <c r="Q57" s="82" t="s">
        <v>19</v>
      </c>
      <c r="R57" s="82" t="s">
        <v>20</v>
      </c>
      <c r="S57" s="82" t="s">
        <v>39</v>
      </c>
      <c r="T57" s="79" t="s">
        <v>21</v>
      </c>
      <c r="U57" s="82" t="s">
        <v>7</v>
      </c>
      <c r="V57" s="82"/>
      <c r="W57" s="76"/>
      <c r="X57" s="82"/>
      <c r="Y57" s="82"/>
      <c r="Z57" s="81"/>
    </row>
    <row r="58" spans="1:26" s="4" customFormat="1">
      <c r="B58" s="15" t="s">
        <v>199</v>
      </c>
      <c r="C58" s="4" t="s">
        <v>198</v>
      </c>
      <c r="D58" s="58" t="s">
        <v>53</v>
      </c>
      <c r="E58" s="4">
        <f t="shared" ref="E58:E65" si="30">IF(D58=$B$11,H58,0)</f>
        <v>0</v>
      </c>
      <c r="F58" s="4">
        <f t="shared" ref="F58:F65" si="31">IF(E58&gt;0,0,1)</f>
        <v>1</v>
      </c>
      <c r="G58" s="58" t="s">
        <v>200</v>
      </c>
      <c r="H58" s="15">
        <v>11</v>
      </c>
      <c r="I58" s="15"/>
      <c r="J58" s="57" t="s">
        <v>175</v>
      </c>
      <c r="K58" s="57" t="s">
        <v>118</v>
      </c>
      <c r="L58" s="7"/>
      <c r="M58" s="5"/>
      <c r="O58" s="51">
        <v>589</v>
      </c>
      <c r="P58" s="6">
        <f t="shared" ref="P58:P68" si="32">ROUND((O58*0.4),0)</f>
        <v>236</v>
      </c>
      <c r="Q58" s="4">
        <f t="shared" ref="Q58:Q65" si="33">IF(O58&gt;0,((O58+300)-P58),0)</f>
        <v>653</v>
      </c>
      <c r="R58" s="8" t="s">
        <v>50</v>
      </c>
      <c r="S58" s="3" t="s">
        <v>51</v>
      </c>
      <c r="T58" s="59" t="s">
        <v>202</v>
      </c>
      <c r="U58" s="6">
        <f t="shared" ref="U58:U65" si="34">Q58+P58</f>
        <v>889</v>
      </c>
      <c r="V58" s="6">
        <f t="shared" ref="V58:V76" si="35">IF(H58&gt;0,70,0)</f>
        <v>70</v>
      </c>
      <c r="W58" s="4">
        <f t="shared" ref="W58:W65" si="36">O58-V58</f>
        <v>519</v>
      </c>
      <c r="X58" s="6"/>
      <c r="Y58" s="6">
        <f t="shared" ref="Y58:Y76" si="37">IF(H58&gt;0,30*F58,0)</f>
        <v>30</v>
      </c>
      <c r="Z58" s="6">
        <f t="shared" ref="Z58:Z65" si="38">W58-Y58</f>
        <v>489</v>
      </c>
    </row>
    <row r="59" spans="1:26" s="4" customFormat="1">
      <c r="B59" s="91" t="s">
        <v>173</v>
      </c>
      <c r="C59" s="95" t="s">
        <v>195</v>
      </c>
      <c r="D59" s="57" t="s">
        <v>48</v>
      </c>
      <c r="E59" s="58">
        <f t="shared" si="30"/>
        <v>0</v>
      </c>
      <c r="F59" s="58">
        <f t="shared" si="31"/>
        <v>1</v>
      </c>
      <c r="G59" s="57" t="s">
        <v>174</v>
      </c>
      <c r="H59" s="58">
        <v>56</v>
      </c>
      <c r="I59" s="58"/>
      <c r="J59" s="57" t="s">
        <v>175</v>
      </c>
      <c r="K59" s="57" t="s">
        <v>117</v>
      </c>
      <c r="L59" s="84"/>
      <c r="M59" s="9"/>
      <c r="N59" s="15"/>
      <c r="O59" s="85">
        <v>2369</v>
      </c>
      <c r="P59" s="16">
        <f t="shared" si="32"/>
        <v>948</v>
      </c>
      <c r="Q59" s="15">
        <f t="shared" si="33"/>
        <v>1721</v>
      </c>
      <c r="R59" s="96">
        <v>41252</v>
      </c>
      <c r="S59" s="3" t="s">
        <v>51</v>
      </c>
      <c r="T59" s="59" t="s">
        <v>110</v>
      </c>
      <c r="U59" s="16">
        <f t="shared" si="34"/>
        <v>2669</v>
      </c>
      <c r="V59" s="16">
        <f t="shared" si="35"/>
        <v>70</v>
      </c>
      <c r="W59" s="15">
        <f t="shared" si="36"/>
        <v>2299</v>
      </c>
      <c r="X59" s="16"/>
      <c r="Y59" s="16">
        <f t="shared" si="37"/>
        <v>30</v>
      </c>
      <c r="Z59" s="16">
        <f t="shared" si="38"/>
        <v>2269</v>
      </c>
    </row>
    <row r="60" spans="1:26" s="4" customFormat="1">
      <c r="B60" s="97"/>
      <c r="C60" s="97"/>
      <c r="D60" s="58"/>
      <c r="E60" s="57">
        <f t="shared" si="30"/>
        <v>0</v>
      </c>
      <c r="F60" s="57">
        <f t="shared" si="31"/>
        <v>1</v>
      </c>
      <c r="G60" s="58"/>
      <c r="H60" s="58"/>
      <c r="I60" s="58"/>
      <c r="J60" s="58"/>
      <c r="K60" s="57"/>
      <c r="L60" s="59"/>
      <c r="M60" s="60"/>
      <c r="N60" s="57"/>
      <c r="O60" s="51">
        <v>0</v>
      </c>
      <c r="P60" s="6">
        <f t="shared" si="32"/>
        <v>0</v>
      </c>
      <c r="Q60" s="4">
        <f t="shared" si="33"/>
        <v>0</v>
      </c>
      <c r="R60" s="56"/>
      <c r="S60" s="3" t="s">
        <v>51</v>
      </c>
      <c r="T60" s="59"/>
      <c r="U60" s="6">
        <f t="shared" si="34"/>
        <v>0</v>
      </c>
      <c r="V60" s="6">
        <f t="shared" si="35"/>
        <v>0</v>
      </c>
      <c r="W60" s="4">
        <f t="shared" si="36"/>
        <v>0</v>
      </c>
      <c r="X60" s="6"/>
      <c r="Y60" s="6">
        <f t="shared" si="37"/>
        <v>0</v>
      </c>
      <c r="Z60" s="6">
        <f t="shared" si="38"/>
        <v>0</v>
      </c>
    </row>
    <row r="61" spans="1:26" s="4" customFormat="1">
      <c r="B61" s="86" t="s">
        <v>207</v>
      </c>
      <c r="C61" s="57" t="s">
        <v>206</v>
      </c>
      <c r="D61" s="57" t="s">
        <v>53</v>
      </c>
      <c r="E61" s="57">
        <f t="shared" si="30"/>
        <v>0</v>
      </c>
      <c r="F61" s="57">
        <f t="shared" si="31"/>
        <v>1</v>
      </c>
      <c r="G61" s="57" t="s">
        <v>204</v>
      </c>
      <c r="H61" s="58">
        <v>7</v>
      </c>
      <c r="I61" s="58"/>
      <c r="J61" s="57" t="s">
        <v>205</v>
      </c>
      <c r="K61" s="57" t="s">
        <v>118</v>
      </c>
      <c r="L61" s="59"/>
      <c r="M61" s="60"/>
      <c r="N61" s="57"/>
      <c r="O61" s="51">
        <v>633</v>
      </c>
      <c r="P61" s="6">
        <f t="shared" si="32"/>
        <v>253</v>
      </c>
      <c r="Q61" s="4">
        <f t="shared" si="33"/>
        <v>680</v>
      </c>
      <c r="R61" s="56">
        <v>41342</v>
      </c>
      <c r="S61" s="3" t="s">
        <v>51</v>
      </c>
      <c r="T61" s="59" t="s">
        <v>220</v>
      </c>
      <c r="U61" s="6">
        <f t="shared" si="34"/>
        <v>933</v>
      </c>
      <c r="V61" s="6">
        <f t="shared" si="35"/>
        <v>70</v>
      </c>
      <c r="W61" s="4">
        <f t="shared" si="36"/>
        <v>563</v>
      </c>
      <c r="X61" s="6"/>
      <c r="Y61" s="6">
        <f t="shared" si="37"/>
        <v>30</v>
      </c>
      <c r="Z61" s="6">
        <f t="shared" si="38"/>
        <v>533</v>
      </c>
    </row>
    <row r="62" spans="1:26" s="4" customFormat="1">
      <c r="B62" s="63" t="s">
        <v>81</v>
      </c>
      <c r="C62" s="4" t="s">
        <v>82</v>
      </c>
      <c r="D62" s="57" t="s">
        <v>53</v>
      </c>
      <c r="E62" s="4">
        <f t="shared" si="30"/>
        <v>0</v>
      </c>
      <c r="F62" s="4">
        <f t="shared" si="31"/>
        <v>1</v>
      </c>
      <c r="G62" s="57" t="s">
        <v>194</v>
      </c>
      <c r="H62" s="15">
        <v>13</v>
      </c>
      <c r="I62" s="15"/>
      <c r="J62" s="57" t="s">
        <v>123</v>
      </c>
      <c r="K62" s="57" t="s">
        <v>118</v>
      </c>
      <c r="L62" s="7"/>
      <c r="M62" s="5"/>
      <c r="O62" s="51">
        <v>1195</v>
      </c>
      <c r="P62" s="6">
        <f t="shared" si="32"/>
        <v>478</v>
      </c>
      <c r="Q62" s="4">
        <f t="shared" si="33"/>
        <v>1017</v>
      </c>
      <c r="R62" s="56">
        <v>40999</v>
      </c>
      <c r="S62" s="3" t="s">
        <v>51</v>
      </c>
      <c r="T62" s="59" t="s">
        <v>21</v>
      </c>
      <c r="U62" s="6">
        <f t="shared" si="34"/>
        <v>1495</v>
      </c>
      <c r="V62" s="6">
        <f t="shared" si="35"/>
        <v>70</v>
      </c>
      <c r="W62" s="4">
        <f t="shared" si="36"/>
        <v>1125</v>
      </c>
      <c r="X62" s="6"/>
      <c r="Y62" s="6">
        <f t="shared" si="37"/>
        <v>30</v>
      </c>
      <c r="Z62" s="6">
        <f t="shared" si="38"/>
        <v>1095</v>
      </c>
    </row>
    <row r="63" spans="1:26" s="4" customFormat="1">
      <c r="B63" s="86" t="s">
        <v>181</v>
      </c>
      <c r="C63" s="4" t="s">
        <v>182</v>
      </c>
      <c r="D63" s="57" t="s">
        <v>48</v>
      </c>
      <c r="E63" s="57">
        <f t="shared" si="30"/>
        <v>0</v>
      </c>
      <c r="F63" s="57">
        <f t="shared" si="31"/>
        <v>1</v>
      </c>
      <c r="G63" s="57" t="s">
        <v>183</v>
      </c>
      <c r="H63" s="58">
        <v>8</v>
      </c>
      <c r="I63" s="58"/>
      <c r="J63" s="57" t="s">
        <v>49</v>
      </c>
      <c r="K63" s="57" t="s">
        <v>118</v>
      </c>
      <c r="L63" s="7"/>
      <c r="M63" s="5"/>
      <c r="O63" s="51">
        <v>848</v>
      </c>
      <c r="P63" s="6">
        <f t="shared" si="32"/>
        <v>339</v>
      </c>
      <c r="Q63" s="4">
        <f t="shared" si="33"/>
        <v>809</v>
      </c>
      <c r="R63" s="56">
        <v>41022</v>
      </c>
      <c r="S63" s="3" t="s">
        <v>51</v>
      </c>
      <c r="T63" s="65" t="s">
        <v>226</v>
      </c>
      <c r="U63" s="6">
        <f t="shared" si="34"/>
        <v>1148</v>
      </c>
      <c r="V63" s="6">
        <f t="shared" si="35"/>
        <v>70</v>
      </c>
      <c r="W63" s="4">
        <f t="shared" si="36"/>
        <v>778</v>
      </c>
      <c r="X63" s="6"/>
      <c r="Y63" s="6">
        <f t="shared" si="37"/>
        <v>30</v>
      </c>
      <c r="Z63" s="6">
        <f t="shared" si="38"/>
        <v>748</v>
      </c>
    </row>
    <row r="64" spans="1:26" s="4" customFormat="1">
      <c r="B64" s="88" t="s">
        <v>169</v>
      </c>
      <c r="C64" s="57" t="s">
        <v>170</v>
      </c>
      <c r="D64" s="57" t="s">
        <v>27</v>
      </c>
      <c r="E64" s="58">
        <f t="shared" si="30"/>
        <v>0</v>
      </c>
      <c r="F64" s="58">
        <f t="shared" si="31"/>
        <v>1</v>
      </c>
      <c r="G64" s="57" t="s">
        <v>171</v>
      </c>
      <c r="H64" s="15">
        <v>17</v>
      </c>
      <c r="I64" s="15"/>
      <c r="J64" s="57" t="s">
        <v>172</v>
      </c>
      <c r="K64" s="57" t="s">
        <v>118</v>
      </c>
      <c r="L64" s="84"/>
      <c r="M64" s="9"/>
      <c r="N64" s="15"/>
      <c r="O64" s="85">
        <v>0</v>
      </c>
      <c r="P64" s="16">
        <f t="shared" si="32"/>
        <v>0</v>
      </c>
      <c r="Q64" s="15">
        <f t="shared" si="33"/>
        <v>0</v>
      </c>
      <c r="R64" s="89"/>
      <c r="S64" s="3" t="s">
        <v>51</v>
      </c>
      <c r="T64" s="87"/>
      <c r="U64" s="16">
        <f t="shared" si="34"/>
        <v>0</v>
      </c>
      <c r="V64" s="16">
        <f t="shared" si="35"/>
        <v>70</v>
      </c>
      <c r="W64" s="15">
        <f t="shared" si="36"/>
        <v>-70</v>
      </c>
      <c r="X64" s="16"/>
      <c r="Y64" s="16">
        <f t="shared" si="37"/>
        <v>30</v>
      </c>
      <c r="Z64" s="16">
        <f t="shared" si="38"/>
        <v>-100</v>
      </c>
    </row>
    <row r="65" spans="1:26" s="4" customFormat="1">
      <c r="B65" s="94" t="s">
        <v>189</v>
      </c>
      <c r="C65" s="4" t="s">
        <v>188</v>
      </c>
      <c r="D65" s="58"/>
      <c r="E65" s="57">
        <f t="shared" si="30"/>
        <v>0</v>
      </c>
      <c r="F65" s="57">
        <f t="shared" si="31"/>
        <v>1</v>
      </c>
      <c r="G65" s="57" t="s">
        <v>187</v>
      </c>
      <c r="H65" s="58">
        <v>10</v>
      </c>
      <c r="I65" s="58"/>
      <c r="J65" s="58" t="s">
        <v>54</v>
      </c>
      <c r="K65" s="57" t="s">
        <v>118</v>
      </c>
      <c r="L65" s="59"/>
      <c r="M65" s="60"/>
      <c r="N65" s="57"/>
      <c r="O65" s="51">
        <v>1480</v>
      </c>
      <c r="P65" s="6">
        <f t="shared" si="32"/>
        <v>592</v>
      </c>
      <c r="Q65" s="4">
        <f t="shared" si="33"/>
        <v>1188</v>
      </c>
      <c r="R65" s="56">
        <v>41047</v>
      </c>
      <c r="S65" s="3" t="s">
        <v>51</v>
      </c>
      <c r="T65" s="59" t="s">
        <v>227</v>
      </c>
      <c r="U65" s="6">
        <f t="shared" si="34"/>
        <v>1780</v>
      </c>
      <c r="V65" s="6">
        <f t="shared" si="35"/>
        <v>70</v>
      </c>
      <c r="W65" s="4">
        <f t="shared" si="36"/>
        <v>1410</v>
      </c>
      <c r="X65" s="6"/>
      <c r="Y65" s="6">
        <f t="shared" si="37"/>
        <v>30</v>
      </c>
      <c r="Z65" s="6">
        <f t="shared" si="38"/>
        <v>1380</v>
      </c>
    </row>
    <row r="66" spans="1:26" s="4" customFormat="1">
      <c r="B66" s="86" t="s">
        <v>162</v>
      </c>
      <c r="C66" s="4" t="s">
        <v>163</v>
      </c>
      <c r="D66" s="58" t="s">
        <v>53</v>
      </c>
      <c r="E66" s="58">
        <f t="shared" ref="E66:E75" si="39">IF(D66=$B$11,H66,0)</f>
        <v>0</v>
      </c>
      <c r="F66" s="58">
        <f t="shared" ref="F66:F75" si="40">IF(E66&gt;0,0,1)</f>
        <v>1</v>
      </c>
      <c r="G66" s="58" t="s">
        <v>164</v>
      </c>
      <c r="H66" s="15">
        <v>14</v>
      </c>
      <c r="I66" s="15"/>
      <c r="J66" s="58" t="s">
        <v>54</v>
      </c>
      <c r="K66" s="57" t="s">
        <v>118</v>
      </c>
      <c r="L66" s="84"/>
      <c r="M66" s="9"/>
      <c r="N66" s="15"/>
      <c r="O66" s="85">
        <v>2000</v>
      </c>
      <c r="P66" s="16">
        <f t="shared" si="32"/>
        <v>800</v>
      </c>
      <c r="Q66" s="15">
        <f t="shared" ref="Q66:Q75" si="41">IF(O66&gt;0,((O66+300)-P66),0)</f>
        <v>1500</v>
      </c>
      <c r="R66" s="89">
        <v>41057</v>
      </c>
      <c r="S66" s="3" t="s">
        <v>51</v>
      </c>
      <c r="T66" s="59" t="s">
        <v>228</v>
      </c>
      <c r="U66" s="16">
        <f t="shared" ref="U66:U75" si="42">Q66+P66</f>
        <v>2300</v>
      </c>
      <c r="V66" s="16">
        <f t="shared" si="35"/>
        <v>70</v>
      </c>
      <c r="W66" s="15">
        <f t="shared" ref="W66:W75" si="43">O66-V66</f>
        <v>1930</v>
      </c>
      <c r="X66" s="16"/>
      <c r="Y66" s="16">
        <f t="shared" si="37"/>
        <v>30</v>
      </c>
      <c r="Z66" s="16">
        <f t="shared" ref="Z66:Z75" si="44">W66-Y66</f>
        <v>1900</v>
      </c>
    </row>
    <row r="67" spans="1:26" s="4" customFormat="1">
      <c r="B67" s="92" t="s">
        <v>177</v>
      </c>
      <c r="C67" s="4" t="s">
        <v>178</v>
      </c>
      <c r="D67" s="58" t="s">
        <v>59</v>
      </c>
      <c r="E67" s="57">
        <f t="shared" si="39"/>
        <v>0</v>
      </c>
      <c r="F67" s="57">
        <f t="shared" si="40"/>
        <v>1</v>
      </c>
      <c r="G67" s="58" t="s">
        <v>179</v>
      </c>
      <c r="H67" s="58">
        <v>14</v>
      </c>
      <c r="I67" s="58"/>
      <c r="J67" s="58" t="s">
        <v>88</v>
      </c>
      <c r="K67" s="57" t="s">
        <v>118</v>
      </c>
      <c r="L67" s="7"/>
      <c r="M67" s="5"/>
      <c r="O67" s="51">
        <v>2036</v>
      </c>
      <c r="P67" s="6">
        <f t="shared" si="32"/>
        <v>814</v>
      </c>
      <c r="Q67" s="4">
        <f t="shared" si="41"/>
        <v>1522</v>
      </c>
      <c r="R67" s="56">
        <v>41071</v>
      </c>
      <c r="S67" s="3" t="s">
        <v>51</v>
      </c>
      <c r="T67" s="59" t="s">
        <v>239</v>
      </c>
      <c r="U67" s="6">
        <f t="shared" si="42"/>
        <v>2336</v>
      </c>
      <c r="V67" s="6">
        <f t="shared" si="35"/>
        <v>70</v>
      </c>
      <c r="W67" s="4">
        <f t="shared" si="43"/>
        <v>1966</v>
      </c>
      <c r="X67" s="6"/>
      <c r="Y67" s="6">
        <f t="shared" si="37"/>
        <v>30</v>
      </c>
      <c r="Z67" s="6">
        <f t="shared" si="44"/>
        <v>1936</v>
      </c>
    </row>
    <row r="68" spans="1:26" s="4" customFormat="1">
      <c r="B68" s="97" t="s">
        <v>208</v>
      </c>
      <c r="C68" s="97" t="s">
        <v>209</v>
      </c>
      <c r="D68" s="58" t="s">
        <v>48</v>
      </c>
      <c r="E68" s="57">
        <f t="shared" si="39"/>
        <v>0</v>
      </c>
      <c r="F68" s="57">
        <f t="shared" si="40"/>
        <v>1</v>
      </c>
      <c r="G68" s="58" t="s">
        <v>210</v>
      </c>
      <c r="H68" s="58">
        <v>7</v>
      </c>
      <c r="I68" s="58"/>
      <c r="J68" s="58" t="s">
        <v>211</v>
      </c>
      <c r="K68" s="57" t="s">
        <v>118</v>
      </c>
      <c r="L68" s="59"/>
      <c r="M68" s="60"/>
      <c r="N68" s="57"/>
      <c r="O68" s="51">
        <v>1064</v>
      </c>
      <c r="P68" s="6">
        <f t="shared" si="32"/>
        <v>426</v>
      </c>
      <c r="Q68" s="98">
        <f>938-(482-426)</f>
        <v>882</v>
      </c>
      <c r="R68" s="56">
        <v>41444</v>
      </c>
      <c r="S68" s="3" t="s">
        <v>51</v>
      </c>
      <c r="T68" s="59" t="s">
        <v>241</v>
      </c>
      <c r="U68" s="6">
        <f t="shared" si="42"/>
        <v>1308</v>
      </c>
      <c r="V68" s="6">
        <f t="shared" si="35"/>
        <v>70</v>
      </c>
      <c r="W68" s="4">
        <f t="shared" si="43"/>
        <v>994</v>
      </c>
      <c r="X68" s="6"/>
      <c r="Y68" s="6">
        <f t="shared" si="37"/>
        <v>30</v>
      </c>
      <c r="Z68" s="6">
        <f t="shared" si="44"/>
        <v>964</v>
      </c>
    </row>
    <row r="69" spans="1:26" s="4" customFormat="1" ht="15.6">
      <c r="B69" s="99" t="s">
        <v>233</v>
      </c>
      <c r="C69" s="4" t="s">
        <v>234</v>
      </c>
      <c r="D69" s="58" t="s">
        <v>53</v>
      </c>
      <c r="E69" s="57">
        <f>IF(D69=$B$11,H69,0)</f>
        <v>0</v>
      </c>
      <c r="F69" s="57">
        <f>IF(E69&gt;0,0,1)</f>
        <v>1</v>
      </c>
      <c r="G69" s="58" t="s">
        <v>232</v>
      </c>
      <c r="H69" s="58">
        <v>7</v>
      </c>
      <c r="I69" s="58"/>
      <c r="J69" s="58" t="s">
        <v>61</v>
      </c>
      <c r="K69" s="57" t="s">
        <v>118</v>
      </c>
      <c r="L69" s="59"/>
      <c r="M69" s="60"/>
      <c r="N69" s="57"/>
      <c r="O69" s="51">
        <v>1000</v>
      </c>
      <c r="P69" s="61">
        <v>400</v>
      </c>
      <c r="Q69" s="57">
        <f>IF(O69&gt;0,((O69+300)-P69),0)</f>
        <v>900</v>
      </c>
      <c r="R69" s="56" t="s">
        <v>50</v>
      </c>
      <c r="S69" s="64" t="s">
        <v>51</v>
      </c>
      <c r="T69" s="59" t="s">
        <v>240</v>
      </c>
      <c r="U69" s="61">
        <f>Q69+P69</f>
        <v>1300</v>
      </c>
      <c r="V69" s="6">
        <f t="shared" si="35"/>
        <v>70</v>
      </c>
      <c r="W69" s="4">
        <f>O69-V69</f>
        <v>930</v>
      </c>
      <c r="X69" s="6"/>
      <c r="Y69" s="6">
        <f t="shared" si="37"/>
        <v>30</v>
      </c>
      <c r="Z69" s="6">
        <f>W69-Y69</f>
        <v>900</v>
      </c>
    </row>
    <row r="70" spans="1:26" s="4" customFormat="1" ht="15.6">
      <c r="B70" s="101" t="s">
        <v>246</v>
      </c>
      <c r="C70" s="4" t="s">
        <v>196</v>
      </c>
      <c r="D70" s="103" t="s">
        <v>59</v>
      </c>
      <c r="E70" s="102">
        <f t="shared" si="39"/>
        <v>0</v>
      </c>
      <c r="F70" s="102">
        <f t="shared" si="40"/>
        <v>1</v>
      </c>
      <c r="G70" s="58" t="s">
        <v>197</v>
      </c>
      <c r="H70" s="103">
        <v>14</v>
      </c>
      <c r="I70" s="103"/>
      <c r="J70" s="58" t="s">
        <v>49</v>
      </c>
      <c r="K70" s="57" t="s">
        <v>118</v>
      </c>
      <c r="L70" s="7"/>
      <c r="M70" s="5"/>
      <c r="O70" s="51">
        <v>1173</v>
      </c>
      <c r="P70" s="6">
        <v>400</v>
      </c>
      <c r="Q70" s="4">
        <f t="shared" si="41"/>
        <v>1073</v>
      </c>
      <c r="R70" s="56">
        <v>41099</v>
      </c>
      <c r="S70" s="3" t="s">
        <v>51</v>
      </c>
      <c r="T70" s="59" t="s">
        <v>240</v>
      </c>
      <c r="U70" s="6">
        <f t="shared" si="42"/>
        <v>1473</v>
      </c>
      <c r="V70" s="6">
        <f t="shared" si="35"/>
        <v>70</v>
      </c>
      <c r="W70" s="4">
        <f t="shared" si="43"/>
        <v>1103</v>
      </c>
      <c r="X70" s="6"/>
      <c r="Y70" s="6">
        <f t="shared" si="37"/>
        <v>30</v>
      </c>
      <c r="Z70" s="6">
        <f t="shared" si="44"/>
        <v>1073</v>
      </c>
    </row>
    <row r="71" spans="1:26" s="4" customFormat="1">
      <c r="B71" s="97" t="s">
        <v>140</v>
      </c>
      <c r="C71" s="4" t="s">
        <v>221</v>
      </c>
      <c r="D71" s="58" t="s">
        <v>53</v>
      </c>
      <c r="E71" s="4">
        <f t="shared" si="39"/>
        <v>0</v>
      </c>
      <c r="F71" s="4">
        <f t="shared" si="40"/>
        <v>1</v>
      </c>
      <c r="G71" s="58" t="s">
        <v>201</v>
      </c>
      <c r="H71" s="58">
        <v>14</v>
      </c>
      <c r="I71" s="58"/>
      <c r="J71" s="58" t="s">
        <v>49</v>
      </c>
      <c r="K71" s="57" t="s">
        <v>118</v>
      </c>
      <c r="L71" s="7"/>
      <c r="M71" s="5"/>
      <c r="O71" s="51">
        <v>1056</v>
      </c>
      <c r="P71" s="6">
        <f>ROUND((O71*0.4),0)</f>
        <v>422</v>
      </c>
      <c r="Q71" s="4">
        <f t="shared" si="41"/>
        <v>934</v>
      </c>
      <c r="R71" s="56">
        <v>41117</v>
      </c>
      <c r="S71" s="3" t="s">
        <v>51</v>
      </c>
      <c r="T71" s="59" t="s">
        <v>247</v>
      </c>
      <c r="U71" s="6">
        <f t="shared" si="42"/>
        <v>1356</v>
      </c>
      <c r="V71" s="6">
        <f t="shared" si="35"/>
        <v>70</v>
      </c>
      <c r="W71" s="4">
        <f t="shared" si="43"/>
        <v>986</v>
      </c>
      <c r="X71" s="6"/>
      <c r="Y71" s="6">
        <f t="shared" si="37"/>
        <v>30</v>
      </c>
      <c r="Z71" s="6">
        <f t="shared" si="44"/>
        <v>956</v>
      </c>
    </row>
    <row r="72" spans="1:26" s="57" customFormat="1">
      <c r="B72" s="58" t="s">
        <v>160</v>
      </c>
      <c r="C72" s="4" t="s">
        <v>242</v>
      </c>
      <c r="D72" s="58" t="s">
        <v>53</v>
      </c>
      <c r="E72" s="57">
        <f t="shared" si="39"/>
        <v>0</v>
      </c>
      <c r="F72" s="57">
        <f t="shared" si="40"/>
        <v>1</v>
      </c>
      <c r="G72" s="58" t="s">
        <v>203</v>
      </c>
      <c r="H72" s="58">
        <v>7</v>
      </c>
      <c r="I72" s="58"/>
      <c r="J72" s="58" t="s">
        <v>61</v>
      </c>
      <c r="K72" s="57" t="s">
        <v>118</v>
      </c>
      <c r="L72" s="59"/>
      <c r="M72" s="60"/>
      <c r="O72" s="51">
        <v>506</v>
      </c>
      <c r="P72" s="61">
        <f>ROUND((O72*0.4),0)</f>
        <v>202</v>
      </c>
      <c r="Q72" s="57">
        <f t="shared" si="41"/>
        <v>604</v>
      </c>
      <c r="R72" s="56">
        <v>41497</v>
      </c>
      <c r="S72" s="64" t="s">
        <v>51</v>
      </c>
      <c r="T72" s="59" t="s">
        <v>21</v>
      </c>
      <c r="U72" s="61">
        <f t="shared" si="42"/>
        <v>806</v>
      </c>
      <c r="V72" s="61">
        <f t="shared" si="35"/>
        <v>70</v>
      </c>
      <c r="W72" s="57">
        <f t="shared" si="43"/>
        <v>436</v>
      </c>
      <c r="X72" s="61"/>
      <c r="Y72" s="61">
        <f t="shared" si="37"/>
        <v>30</v>
      </c>
      <c r="Z72" s="61">
        <f t="shared" si="44"/>
        <v>406</v>
      </c>
    </row>
    <row r="73" spans="1:26" s="4" customFormat="1">
      <c r="B73" s="97" t="s">
        <v>238</v>
      </c>
      <c r="C73" s="4" t="s">
        <v>237</v>
      </c>
      <c r="D73" s="97" t="s">
        <v>48</v>
      </c>
      <c r="E73" s="97">
        <f t="shared" si="39"/>
        <v>0</v>
      </c>
      <c r="F73" s="97">
        <f t="shared" si="40"/>
        <v>1</v>
      </c>
      <c r="G73" s="97" t="s">
        <v>236</v>
      </c>
      <c r="H73" s="97">
        <v>7</v>
      </c>
      <c r="I73" s="97"/>
      <c r="J73" s="97" t="s">
        <v>235</v>
      </c>
      <c r="K73" s="57" t="s">
        <v>118</v>
      </c>
      <c r="L73" s="65"/>
      <c r="M73" s="60"/>
      <c r="N73" s="97"/>
      <c r="O73" s="75">
        <v>610</v>
      </c>
      <c r="P73" s="100">
        <v>0</v>
      </c>
      <c r="Q73" s="97">
        <f t="shared" si="41"/>
        <v>910</v>
      </c>
      <c r="R73" s="96" t="s">
        <v>50</v>
      </c>
      <c r="S73" s="64" t="s">
        <v>51</v>
      </c>
      <c r="T73" s="59" t="s">
        <v>21</v>
      </c>
      <c r="U73" s="61">
        <f t="shared" si="42"/>
        <v>910</v>
      </c>
      <c r="V73" s="6">
        <f t="shared" si="35"/>
        <v>70</v>
      </c>
      <c r="W73" s="4">
        <f t="shared" si="43"/>
        <v>540</v>
      </c>
      <c r="X73" s="6"/>
      <c r="Y73" s="6">
        <f t="shared" si="37"/>
        <v>30</v>
      </c>
      <c r="Z73" s="6">
        <f t="shared" si="44"/>
        <v>510</v>
      </c>
    </row>
    <row r="74" spans="1:26" s="4" customFormat="1">
      <c r="B74" s="66" t="s">
        <v>223</v>
      </c>
      <c r="C74" s="57" t="s">
        <v>224</v>
      </c>
      <c r="D74" s="57" t="s">
        <v>27</v>
      </c>
      <c r="E74" s="4">
        <f>IF(D74=$B$11,H74,0)</f>
        <v>0</v>
      </c>
      <c r="F74" s="4">
        <f>IF(E74&gt;0,0,1)</f>
        <v>1</v>
      </c>
      <c r="G74" s="57" t="s">
        <v>225</v>
      </c>
      <c r="H74" s="58">
        <v>14</v>
      </c>
      <c r="I74" s="58"/>
      <c r="J74" s="58" t="s">
        <v>235</v>
      </c>
      <c r="K74" s="57" t="s">
        <v>118</v>
      </c>
      <c r="L74" s="7"/>
      <c r="M74" s="5"/>
      <c r="O74" s="51">
        <v>0</v>
      </c>
      <c r="P74" s="6">
        <f>ROUND((O74*0.4),0)</f>
        <v>0</v>
      </c>
      <c r="Q74" s="4">
        <f>IF(O74&gt;0,((O74+300)-P74),0)</f>
        <v>0</v>
      </c>
      <c r="R74" s="8"/>
      <c r="S74" s="64" t="s">
        <v>51</v>
      </c>
      <c r="T74" s="59"/>
      <c r="U74" s="6">
        <f>Q74+P74</f>
        <v>0</v>
      </c>
      <c r="V74" s="6">
        <f t="shared" si="35"/>
        <v>70</v>
      </c>
      <c r="W74" s="4">
        <f>O74-V74</f>
        <v>-70</v>
      </c>
      <c r="X74" s="6"/>
      <c r="Y74" s="6">
        <f t="shared" si="37"/>
        <v>30</v>
      </c>
      <c r="Z74" s="6">
        <f>W74-Y74</f>
        <v>-100</v>
      </c>
    </row>
    <row r="75" spans="1:26" s="4" customFormat="1">
      <c r="B75" s="66" t="s">
        <v>217</v>
      </c>
      <c r="C75" s="4" t="s">
        <v>218</v>
      </c>
      <c r="D75" s="58" t="s">
        <v>53</v>
      </c>
      <c r="E75" s="4">
        <f t="shared" si="39"/>
        <v>0</v>
      </c>
      <c r="F75" s="4">
        <f t="shared" si="40"/>
        <v>1</v>
      </c>
      <c r="G75" s="58" t="s">
        <v>219</v>
      </c>
      <c r="H75" s="58">
        <v>41</v>
      </c>
      <c r="I75" s="58"/>
      <c r="J75" s="58" t="s">
        <v>61</v>
      </c>
      <c r="K75" s="57" t="s">
        <v>118</v>
      </c>
      <c r="L75" s="7"/>
      <c r="M75" s="5"/>
      <c r="O75" s="51">
        <v>1800</v>
      </c>
      <c r="P75" s="6">
        <f>ROUND((O75*0.4),0)</f>
        <v>720</v>
      </c>
      <c r="Q75" s="4">
        <f t="shared" si="41"/>
        <v>1380</v>
      </c>
      <c r="R75" s="56">
        <v>41531</v>
      </c>
      <c r="S75" s="64" t="s">
        <v>51</v>
      </c>
      <c r="T75" s="59" t="s">
        <v>260</v>
      </c>
      <c r="U75" s="6">
        <f t="shared" si="42"/>
        <v>2100</v>
      </c>
      <c r="V75" s="6">
        <f t="shared" si="35"/>
        <v>70</v>
      </c>
      <c r="W75" s="4">
        <f t="shared" si="43"/>
        <v>1730</v>
      </c>
      <c r="X75" s="6"/>
      <c r="Y75" s="6">
        <f t="shared" si="37"/>
        <v>30</v>
      </c>
      <c r="Z75" s="6">
        <f t="shared" si="44"/>
        <v>1700</v>
      </c>
    </row>
    <row r="76" spans="1:26" s="4" customFormat="1">
      <c r="B76" s="66" t="s">
        <v>255</v>
      </c>
      <c r="C76" s="4" t="s">
        <v>256</v>
      </c>
      <c r="D76" s="58" t="s">
        <v>53</v>
      </c>
      <c r="E76" s="4">
        <f>IF(D76=$B$11,H76,0)</f>
        <v>0</v>
      </c>
      <c r="F76" s="4">
        <f>IF(E76&gt;0,0,1)</f>
        <v>1</v>
      </c>
      <c r="G76" s="57" t="s">
        <v>257</v>
      </c>
      <c r="H76" s="58">
        <v>6</v>
      </c>
      <c r="I76" s="58"/>
      <c r="J76" s="58" t="s">
        <v>56</v>
      </c>
      <c r="K76" s="57" t="s">
        <v>118</v>
      </c>
      <c r="L76" s="7"/>
      <c r="M76" s="5"/>
      <c r="O76" s="51">
        <v>388</v>
      </c>
      <c r="P76" s="6">
        <f>ROUND((O76*0.4),0)</f>
        <v>155</v>
      </c>
      <c r="Q76" s="4">
        <f>IF(O76&gt;0,((O76+300)-P76),0)</f>
        <v>533</v>
      </c>
      <c r="R76" s="8" t="s">
        <v>109</v>
      </c>
      <c r="S76" s="64" t="s">
        <v>51</v>
      </c>
      <c r="T76" s="59" t="s">
        <v>21</v>
      </c>
      <c r="U76" s="6">
        <f>Q76+P76</f>
        <v>688</v>
      </c>
      <c r="V76" s="6">
        <f t="shared" si="35"/>
        <v>70</v>
      </c>
      <c r="W76" s="4">
        <f>O76-V76</f>
        <v>318</v>
      </c>
      <c r="X76" s="6"/>
      <c r="Y76" s="6">
        <f t="shared" si="37"/>
        <v>30</v>
      </c>
      <c r="Z76" s="6">
        <f>W76-Y76</f>
        <v>288</v>
      </c>
    </row>
    <row r="77" spans="1:26" s="4" customFormat="1">
      <c r="A77" s="43"/>
      <c r="B77" s="44"/>
      <c r="C77" s="45"/>
      <c r="D77" s="44"/>
      <c r="E77" s="44"/>
      <c r="F77" s="44"/>
      <c r="G77" s="44"/>
      <c r="H77" s="44"/>
      <c r="I77" s="44"/>
      <c r="J77" s="44"/>
      <c r="K77" s="43"/>
      <c r="L77" s="46"/>
      <c r="M77" s="47"/>
      <c r="N77" s="43"/>
      <c r="O77" s="48">
        <f>SUM(O58:O76)</f>
        <v>18747</v>
      </c>
      <c r="P77" s="49"/>
      <c r="Q77" s="43"/>
      <c r="R77" s="50"/>
      <c r="S77" s="48"/>
      <c r="T77" s="46"/>
      <c r="U77" s="49"/>
      <c r="V77" s="49"/>
      <c r="W77" s="43"/>
      <c r="X77" s="49"/>
      <c r="Y77" s="49"/>
      <c r="Z77" s="48">
        <f>SUM(Z58:Z76)</f>
        <v>16947</v>
      </c>
    </row>
    <row r="78" spans="1:26" s="4" customFormat="1" ht="23.4">
      <c r="A78" s="76"/>
      <c r="B78" s="83">
        <v>2014</v>
      </c>
      <c r="C78" s="78"/>
      <c r="D78" s="77"/>
      <c r="E78" s="77"/>
      <c r="F78" s="77"/>
      <c r="G78" s="77"/>
      <c r="H78" s="77"/>
      <c r="I78" s="77"/>
      <c r="J78" s="77"/>
      <c r="K78" s="76"/>
      <c r="L78" s="79"/>
      <c r="M78" s="80"/>
      <c r="N78" s="76"/>
      <c r="O78" s="82" t="s">
        <v>17</v>
      </c>
      <c r="P78" s="82" t="s">
        <v>18</v>
      </c>
      <c r="Q78" s="82" t="s">
        <v>19</v>
      </c>
      <c r="R78" s="82" t="s">
        <v>20</v>
      </c>
      <c r="S78" s="82" t="s">
        <v>39</v>
      </c>
      <c r="T78" s="79" t="s">
        <v>21</v>
      </c>
      <c r="U78" s="82" t="s">
        <v>7</v>
      </c>
      <c r="V78" s="82"/>
      <c r="W78" s="76"/>
      <c r="X78" s="82"/>
      <c r="Y78" s="82"/>
      <c r="Z78" s="81"/>
    </row>
    <row r="79" spans="1:26" s="4" customFormat="1" ht="15.6">
      <c r="B79" s="105" t="s">
        <v>267</v>
      </c>
      <c r="C79" s="4" t="s">
        <v>268</v>
      </c>
      <c r="D79" s="58" t="s">
        <v>253</v>
      </c>
      <c r="E79" s="57">
        <f>IF(D79=$B$11,H79,0)</f>
        <v>0</v>
      </c>
      <c r="F79" s="57">
        <f>IF(E79&gt;0,0,1)</f>
        <v>1</v>
      </c>
      <c r="G79" s="58" t="s">
        <v>269</v>
      </c>
      <c r="H79" s="58">
        <v>5</v>
      </c>
      <c r="I79" s="58"/>
      <c r="J79" s="57" t="s">
        <v>135</v>
      </c>
      <c r="K79" s="57" t="s">
        <v>118</v>
      </c>
      <c r="L79" s="7"/>
      <c r="M79" s="5"/>
      <c r="O79" s="51">
        <v>437</v>
      </c>
      <c r="P79" s="6">
        <f>ROUND((O79*0.4),0)</f>
        <v>175</v>
      </c>
      <c r="Q79" s="4">
        <f>IF(O79&gt;0,((O79+300)-P79),0)</f>
        <v>562</v>
      </c>
      <c r="R79" s="56">
        <v>41620</v>
      </c>
      <c r="S79" s="3" t="s">
        <v>51</v>
      </c>
      <c r="T79" s="110" t="s">
        <v>277</v>
      </c>
      <c r="U79" s="6">
        <f>Q79+P79</f>
        <v>737</v>
      </c>
      <c r="V79" s="6">
        <f t="shared" ref="V79:V100" si="45">IF(H79&gt;0,70,0)</f>
        <v>70</v>
      </c>
      <c r="W79" s="4">
        <f>O79-V79</f>
        <v>367</v>
      </c>
      <c r="X79" s="6"/>
      <c r="Y79" s="6">
        <f t="shared" ref="Y79:Y100" si="46">IF(H79&gt;0,30*F79,0)</f>
        <v>30</v>
      </c>
      <c r="Z79" s="6">
        <f>W79-Y79</f>
        <v>337</v>
      </c>
    </row>
    <row r="80" spans="1:26" s="4" customFormat="1" ht="15.6">
      <c r="B80" s="105" t="s">
        <v>251</v>
      </c>
      <c r="C80" s="57" t="s">
        <v>252</v>
      </c>
      <c r="D80" s="58" t="s">
        <v>253</v>
      </c>
      <c r="E80" s="57">
        <f>IF(D80=$B$11,H80,0)</f>
        <v>0</v>
      </c>
      <c r="F80" s="57">
        <f>IF(E80&gt;0,0,1)</f>
        <v>1</v>
      </c>
      <c r="G80" s="97" t="s">
        <v>254</v>
      </c>
      <c r="H80" s="58">
        <v>21</v>
      </c>
      <c r="I80" s="58"/>
      <c r="J80" s="57" t="s">
        <v>231</v>
      </c>
      <c r="K80" s="57" t="s">
        <v>118</v>
      </c>
      <c r="L80" s="7"/>
      <c r="M80" s="5"/>
      <c r="O80" s="51">
        <v>1078</v>
      </c>
      <c r="P80" s="6">
        <f>ROUND((O80*0.4),0)</f>
        <v>431</v>
      </c>
      <c r="Q80" s="4">
        <f>IF(O80&gt;0,((O80+300)-P80),0)</f>
        <v>947</v>
      </c>
      <c r="R80" s="56">
        <v>41620</v>
      </c>
      <c r="S80" s="3" t="s">
        <v>51</v>
      </c>
      <c r="T80" s="59" t="s">
        <v>285</v>
      </c>
      <c r="U80" s="6">
        <f>Q80+P80</f>
        <v>1378</v>
      </c>
      <c r="V80" s="6">
        <f t="shared" si="45"/>
        <v>70</v>
      </c>
      <c r="W80" s="4">
        <f>O80-V80</f>
        <v>1008</v>
      </c>
      <c r="X80" s="6"/>
      <c r="Y80" s="6">
        <f t="shared" si="46"/>
        <v>30</v>
      </c>
      <c r="Z80" s="6">
        <f>W80-Y80</f>
        <v>978</v>
      </c>
    </row>
    <row r="81" spans="2:26" s="4" customFormat="1">
      <c r="B81" s="97" t="s">
        <v>212</v>
      </c>
      <c r="C81" s="4" t="s">
        <v>213</v>
      </c>
      <c r="D81" s="57" t="s">
        <v>214</v>
      </c>
      <c r="E81" s="58">
        <f>IF(D81=$B$11,H81,0)</f>
        <v>0</v>
      </c>
      <c r="F81" s="58">
        <f>IF(E81&gt;0,0,1)</f>
        <v>1</v>
      </c>
      <c r="G81" s="97" t="s">
        <v>215</v>
      </c>
      <c r="H81" s="58">
        <v>30</v>
      </c>
      <c r="I81" s="58"/>
      <c r="J81" s="57" t="s">
        <v>216</v>
      </c>
      <c r="K81" s="57" t="s">
        <v>118</v>
      </c>
      <c r="L81" s="87"/>
      <c r="M81" s="97"/>
      <c r="N81" s="58"/>
      <c r="O81" s="85">
        <v>1158</v>
      </c>
      <c r="P81" s="16">
        <f>ROUND((O81*0.4),0)</f>
        <v>463</v>
      </c>
      <c r="Q81" s="15">
        <v>1005</v>
      </c>
      <c r="R81" s="96">
        <v>41278</v>
      </c>
      <c r="S81" s="3" t="s">
        <v>51</v>
      </c>
      <c r="T81" s="59" t="s">
        <v>110</v>
      </c>
      <c r="U81" s="16">
        <f>Q81+P81</f>
        <v>1468</v>
      </c>
      <c r="V81" s="16">
        <f t="shared" si="45"/>
        <v>70</v>
      </c>
      <c r="W81" s="15">
        <f>O81-V81</f>
        <v>1088</v>
      </c>
      <c r="X81" s="16"/>
      <c r="Y81" s="16">
        <f t="shared" si="46"/>
        <v>30</v>
      </c>
      <c r="Z81" s="16">
        <f>W81-Y81</f>
        <v>1058</v>
      </c>
    </row>
    <row r="82" spans="2:26" s="4" customFormat="1">
      <c r="B82" s="97" t="s">
        <v>229</v>
      </c>
      <c r="C82" s="57" t="s">
        <v>230</v>
      </c>
      <c r="D82" s="58" t="s">
        <v>59</v>
      </c>
      <c r="E82" s="57">
        <f>IF(D82=$B$11,H82,0)</f>
        <v>0</v>
      </c>
      <c r="F82" s="57">
        <f>IF(E82&gt;0,0,1)</f>
        <v>1</v>
      </c>
      <c r="G82" s="97" t="s">
        <v>295</v>
      </c>
      <c r="H82" s="58">
        <v>12</v>
      </c>
      <c r="I82" s="58"/>
      <c r="J82" s="58" t="s">
        <v>231</v>
      </c>
      <c r="K82" s="57" t="s">
        <v>118</v>
      </c>
      <c r="L82" s="59"/>
      <c r="M82" s="60"/>
      <c r="N82" s="57"/>
      <c r="O82" s="51">
        <v>683</v>
      </c>
      <c r="P82" s="6">
        <f>ROUND((O82*0.4),0)</f>
        <v>273</v>
      </c>
      <c r="Q82" s="4">
        <f>IF(O82&gt;0,((O82+300)-P82),0)</f>
        <v>710</v>
      </c>
      <c r="R82" s="56">
        <v>41309</v>
      </c>
      <c r="S82" s="3" t="s">
        <v>51</v>
      </c>
      <c r="T82" s="59" t="s">
        <v>21</v>
      </c>
      <c r="U82" s="6">
        <f>Q82+P82</f>
        <v>983</v>
      </c>
      <c r="V82" s="6">
        <f t="shared" si="45"/>
        <v>70</v>
      </c>
      <c r="W82" s="4">
        <f>O82-V82</f>
        <v>613</v>
      </c>
      <c r="X82" s="6"/>
      <c r="Y82" s="6">
        <f t="shared" si="46"/>
        <v>30</v>
      </c>
      <c r="Z82" s="6">
        <f>W82-Y82</f>
        <v>583</v>
      </c>
    </row>
    <row r="83" spans="2:26" s="4" customFormat="1">
      <c r="B83" s="94" t="s">
        <v>271</v>
      </c>
      <c r="C83" s="4" t="s">
        <v>272</v>
      </c>
      <c r="D83" s="58" t="s">
        <v>253</v>
      </c>
      <c r="E83" s="57">
        <f t="shared" ref="E83:E94" si="47">IF(D83=$B$11,H83,0)</f>
        <v>0</v>
      </c>
      <c r="F83" s="57">
        <f t="shared" ref="F83:F94" si="48">IF(E83&gt;0,0,1)</f>
        <v>1</v>
      </c>
      <c r="G83" s="58" t="s">
        <v>273</v>
      </c>
      <c r="H83" s="58">
        <v>5</v>
      </c>
      <c r="I83" s="58"/>
      <c r="J83" s="58" t="s">
        <v>270</v>
      </c>
      <c r="K83" s="57" t="s">
        <v>118</v>
      </c>
      <c r="L83" s="59"/>
      <c r="M83" s="60"/>
      <c r="N83" s="57"/>
      <c r="O83" s="51">
        <v>461</v>
      </c>
      <c r="P83" s="61">
        <f t="shared" ref="P83:P94" si="49">ROUND((O83*0.4),0)</f>
        <v>184</v>
      </c>
      <c r="Q83" s="57">
        <f t="shared" ref="Q83:Q94" si="50">IF(O83&gt;0,((O83+300)-P83),0)</f>
        <v>577</v>
      </c>
      <c r="R83" s="56">
        <v>41687</v>
      </c>
      <c r="S83" s="3" t="s">
        <v>51</v>
      </c>
      <c r="T83" s="59" t="s">
        <v>176</v>
      </c>
      <c r="U83" s="6">
        <f t="shared" ref="U83:U94" si="51">Q83+P83</f>
        <v>761</v>
      </c>
      <c r="V83" s="6">
        <f t="shared" si="45"/>
        <v>70</v>
      </c>
      <c r="W83" s="4">
        <f t="shared" ref="W83:W94" si="52">O83-V83</f>
        <v>391</v>
      </c>
      <c r="X83" s="6"/>
      <c r="Y83" s="6">
        <f t="shared" si="46"/>
        <v>30</v>
      </c>
      <c r="Z83" s="6">
        <f t="shared" ref="Z83:Z94" si="53">W83-Y83</f>
        <v>361</v>
      </c>
    </row>
    <row r="84" spans="2:26" s="4" customFormat="1">
      <c r="B84" s="57" t="s">
        <v>292</v>
      </c>
      <c r="C84" s="86" t="s">
        <v>293</v>
      </c>
      <c r="D84" s="58" t="s">
        <v>53</v>
      </c>
      <c r="E84" s="57">
        <f t="shared" si="47"/>
        <v>0</v>
      </c>
      <c r="F84" s="57">
        <f t="shared" si="48"/>
        <v>1</v>
      </c>
      <c r="G84" s="58" t="s">
        <v>294</v>
      </c>
      <c r="H84" s="58">
        <v>6</v>
      </c>
      <c r="I84" s="58"/>
      <c r="J84" s="58" t="s">
        <v>54</v>
      </c>
      <c r="K84" s="57" t="s">
        <v>118</v>
      </c>
      <c r="L84" s="59"/>
      <c r="M84" s="60"/>
      <c r="N84" s="57"/>
      <c r="O84" s="51">
        <v>536</v>
      </c>
      <c r="P84" s="6">
        <f t="shared" si="49"/>
        <v>214</v>
      </c>
      <c r="Q84" s="4">
        <f t="shared" si="50"/>
        <v>622</v>
      </c>
      <c r="R84" s="8" t="s">
        <v>50</v>
      </c>
      <c r="S84" s="3" t="s">
        <v>51</v>
      </c>
      <c r="T84" s="59" t="s">
        <v>21</v>
      </c>
      <c r="U84" s="6">
        <f t="shared" si="51"/>
        <v>836</v>
      </c>
      <c r="V84" s="6">
        <f t="shared" si="45"/>
        <v>70</v>
      </c>
      <c r="W84" s="4">
        <f t="shared" si="52"/>
        <v>466</v>
      </c>
      <c r="X84" s="6"/>
      <c r="Y84" s="6">
        <f t="shared" si="46"/>
        <v>30</v>
      </c>
      <c r="Z84" s="6">
        <f t="shared" si="53"/>
        <v>436</v>
      </c>
    </row>
    <row r="85" spans="2:26" s="4" customFormat="1">
      <c r="B85" s="97" t="s">
        <v>279</v>
      </c>
      <c r="C85" s="4" t="s">
        <v>281</v>
      </c>
      <c r="D85" s="58" t="s">
        <v>59</v>
      </c>
      <c r="E85" s="57">
        <f>IF(D85=$B$11,H85,0)</f>
        <v>0</v>
      </c>
      <c r="F85" s="57">
        <f>IF(E85&gt;0,0,1)</f>
        <v>1</v>
      </c>
      <c r="G85" s="58" t="s">
        <v>278</v>
      </c>
      <c r="H85" s="58">
        <v>8</v>
      </c>
      <c r="I85" s="58"/>
      <c r="J85" s="58" t="s">
        <v>54</v>
      </c>
      <c r="K85" s="57" t="s">
        <v>118</v>
      </c>
      <c r="L85" s="7"/>
      <c r="M85" s="5"/>
      <c r="O85" s="51">
        <v>841</v>
      </c>
      <c r="P85" s="6">
        <f>ROUND((O85*0.4),0)</f>
        <v>336</v>
      </c>
      <c r="Q85" s="4">
        <f>IF(O85&gt;0,((O85+300)-P85),0)</f>
        <v>805</v>
      </c>
      <c r="R85" s="56">
        <v>41728</v>
      </c>
      <c r="S85" s="64" t="s">
        <v>51</v>
      </c>
      <c r="T85" s="59" t="s">
        <v>21</v>
      </c>
      <c r="U85" s="6">
        <f>Q85+P85</f>
        <v>1141</v>
      </c>
      <c r="V85" s="6">
        <f t="shared" si="45"/>
        <v>70</v>
      </c>
      <c r="W85" s="4">
        <f>O85-V85</f>
        <v>771</v>
      </c>
      <c r="X85" s="6"/>
      <c r="Y85" s="6">
        <f t="shared" si="46"/>
        <v>30</v>
      </c>
      <c r="Z85" s="6">
        <f>W85-Y85</f>
        <v>741</v>
      </c>
    </row>
    <row r="86" spans="2:26" s="4" customFormat="1">
      <c r="B86" s="57" t="s">
        <v>284</v>
      </c>
      <c r="C86" s="4" t="s">
        <v>280</v>
      </c>
      <c r="D86" s="58" t="s">
        <v>53</v>
      </c>
      <c r="E86" s="57">
        <f>IF(D86=$B$11,H86,0)</f>
        <v>0</v>
      </c>
      <c r="F86" s="57">
        <f>IF(E86&gt;0,0,1)</f>
        <v>1</v>
      </c>
      <c r="G86" s="58" t="s">
        <v>283</v>
      </c>
      <c r="H86" s="58">
        <v>15</v>
      </c>
      <c r="I86" s="58"/>
      <c r="J86" s="58" t="s">
        <v>231</v>
      </c>
      <c r="K86" s="57" t="s">
        <v>118</v>
      </c>
      <c r="L86" s="7"/>
      <c r="M86" s="5"/>
      <c r="O86" s="51">
        <v>1645</v>
      </c>
      <c r="P86" s="6">
        <f>ROUND((O86*0.4),0)</f>
        <v>658</v>
      </c>
      <c r="Q86" s="4">
        <f>IF(O86&gt;0,((O86+300)-P86),0)</f>
        <v>1287</v>
      </c>
      <c r="R86" s="56">
        <v>41736</v>
      </c>
      <c r="S86" s="64" t="s">
        <v>51</v>
      </c>
      <c r="T86" s="59" t="s">
        <v>300</v>
      </c>
      <c r="U86" s="6">
        <f>Q86+P86</f>
        <v>1945</v>
      </c>
      <c r="V86" s="6">
        <f t="shared" si="45"/>
        <v>70</v>
      </c>
      <c r="W86" s="4">
        <f>O86-V86</f>
        <v>1575</v>
      </c>
      <c r="X86" s="6"/>
      <c r="Y86" s="6">
        <f t="shared" si="46"/>
        <v>30</v>
      </c>
      <c r="Z86" s="6">
        <f>W86-Y86</f>
        <v>1545</v>
      </c>
    </row>
    <row r="87" spans="2:26" s="4" customFormat="1">
      <c r="B87" s="57" t="s">
        <v>290</v>
      </c>
      <c r="C87" s="4" t="s">
        <v>291</v>
      </c>
      <c r="D87" s="58" t="s">
        <v>53</v>
      </c>
      <c r="E87" s="57">
        <f t="shared" si="47"/>
        <v>0</v>
      </c>
      <c r="F87" s="57">
        <f t="shared" si="48"/>
        <v>1</v>
      </c>
      <c r="G87" s="58" t="s">
        <v>289</v>
      </c>
      <c r="H87" s="58">
        <v>7</v>
      </c>
      <c r="I87" s="58"/>
      <c r="J87" s="58" t="s">
        <v>231</v>
      </c>
      <c r="K87" s="57" t="s">
        <v>118</v>
      </c>
      <c r="L87" s="7"/>
      <c r="M87" s="5"/>
      <c r="O87" s="51">
        <v>868</v>
      </c>
      <c r="P87" s="6">
        <f t="shared" si="49"/>
        <v>347</v>
      </c>
      <c r="Q87" s="4">
        <f t="shared" si="50"/>
        <v>821</v>
      </c>
      <c r="R87" s="56">
        <v>41758</v>
      </c>
      <c r="S87" s="64" t="s">
        <v>51</v>
      </c>
      <c r="T87" s="59" t="s">
        <v>260</v>
      </c>
      <c r="U87" s="6">
        <f t="shared" si="51"/>
        <v>1168</v>
      </c>
      <c r="V87" s="6">
        <f t="shared" si="45"/>
        <v>70</v>
      </c>
      <c r="W87" s="4">
        <f t="shared" si="52"/>
        <v>798</v>
      </c>
      <c r="X87" s="6"/>
      <c r="Y87" s="6">
        <f t="shared" si="46"/>
        <v>30</v>
      </c>
      <c r="Z87" s="6">
        <f t="shared" si="53"/>
        <v>768</v>
      </c>
    </row>
    <row r="88" spans="2:26" s="4" customFormat="1">
      <c r="B88" s="97" t="s">
        <v>274</v>
      </c>
      <c r="C88" s="4" t="s">
        <v>282</v>
      </c>
      <c r="D88" s="58" t="s">
        <v>59</v>
      </c>
      <c r="E88" s="57">
        <f t="shared" si="47"/>
        <v>0</v>
      </c>
      <c r="F88" s="57">
        <f t="shared" si="48"/>
        <v>1</v>
      </c>
      <c r="G88" s="58" t="s">
        <v>275</v>
      </c>
      <c r="H88" s="58">
        <v>7</v>
      </c>
      <c r="I88" s="58"/>
      <c r="J88" s="58" t="s">
        <v>205</v>
      </c>
      <c r="K88" s="57" t="s">
        <v>118</v>
      </c>
      <c r="L88" s="7"/>
      <c r="M88" s="5"/>
      <c r="O88" s="51">
        <v>1294</v>
      </c>
      <c r="P88" s="6">
        <f t="shared" si="49"/>
        <v>518</v>
      </c>
      <c r="Q88" s="4">
        <f t="shared" si="50"/>
        <v>1076</v>
      </c>
      <c r="R88" s="56">
        <v>41766</v>
      </c>
      <c r="S88" s="3" t="s">
        <v>51</v>
      </c>
      <c r="T88" s="59" t="s">
        <v>21</v>
      </c>
      <c r="U88" s="6">
        <f t="shared" si="51"/>
        <v>1594</v>
      </c>
      <c r="V88" s="6">
        <f t="shared" si="45"/>
        <v>70</v>
      </c>
      <c r="W88" s="4">
        <f t="shared" si="52"/>
        <v>1224</v>
      </c>
      <c r="X88" s="6"/>
      <c r="Y88" s="6">
        <f t="shared" si="46"/>
        <v>30</v>
      </c>
      <c r="Z88" s="6">
        <f t="shared" si="53"/>
        <v>1194</v>
      </c>
    </row>
    <row r="89" spans="2:26" s="4" customFormat="1">
      <c r="B89" s="97" t="s">
        <v>229</v>
      </c>
      <c r="C89" s="4" t="s">
        <v>230</v>
      </c>
      <c r="D89" s="58" t="s">
        <v>59</v>
      </c>
      <c r="E89" s="57">
        <f t="shared" si="47"/>
        <v>0</v>
      </c>
      <c r="F89" s="57">
        <f t="shared" si="48"/>
        <v>1</v>
      </c>
      <c r="G89" s="97" t="s">
        <v>299</v>
      </c>
      <c r="H89" s="58">
        <v>12</v>
      </c>
      <c r="I89" s="58"/>
      <c r="J89" s="58" t="s">
        <v>231</v>
      </c>
      <c r="K89" s="57" t="s">
        <v>118</v>
      </c>
      <c r="L89" s="59"/>
      <c r="M89" s="60"/>
      <c r="N89" s="57"/>
      <c r="O89" s="51">
        <v>1946</v>
      </c>
      <c r="P89" s="6">
        <f t="shared" si="49"/>
        <v>778</v>
      </c>
      <c r="Q89" s="4">
        <f t="shared" si="50"/>
        <v>1468</v>
      </c>
      <c r="R89" s="56">
        <v>41777</v>
      </c>
      <c r="S89" s="3" t="s">
        <v>51</v>
      </c>
      <c r="T89" s="59" t="s">
        <v>310</v>
      </c>
      <c r="U89" s="6">
        <f t="shared" si="51"/>
        <v>2246</v>
      </c>
      <c r="V89" s="6">
        <f t="shared" si="45"/>
        <v>70</v>
      </c>
      <c r="W89" s="4">
        <f t="shared" si="52"/>
        <v>1876</v>
      </c>
      <c r="X89" s="6"/>
      <c r="Y89" s="6">
        <f t="shared" si="46"/>
        <v>30</v>
      </c>
      <c r="Z89" s="6">
        <f t="shared" si="53"/>
        <v>1846</v>
      </c>
    </row>
    <row r="90" spans="2:26" s="4" customFormat="1">
      <c r="B90" s="94"/>
      <c r="C90" s="57"/>
      <c r="D90" s="58"/>
      <c r="E90" s="57">
        <f>IF(D90=$B$11,H90,0)</f>
        <v>0</v>
      </c>
      <c r="F90" s="57">
        <f>IF(E90&gt;0,0,1)</f>
        <v>1</v>
      </c>
      <c r="G90" s="106"/>
      <c r="H90" s="58"/>
      <c r="I90" s="58"/>
      <c r="J90" s="58"/>
      <c r="K90" s="57" t="s">
        <v>118</v>
      </c>
      <c r="L90" s="59"/>
      <c r="M90" s="60"/>
      <c r="N90" s="57"/>
      <c r="O90" s="51">
        <v>0</v>
      </c>
      <c r="P90" s="6">
        <f>ROUND((O90*0.4),0)</f>
        <v>0</v>
      </c>
      <c r="Q90" s="4">
        <f>IF(O90&gt;0,((O90+300)-P90),0)</f>
        <v>0</v>
      </c>
      <c r="R90" s="56"/>
      <c r="S90" s="3" t="s">
        <v>51</v>
      </c>
      <c r="T90" s="59"/>
      <c r="U90" s="6">
        <f>Q90+P90</f>
        <v>0</v>
      </c>
      <c r="V90" s="6">
        <f t="shared" si="45"/>
        <v>0</v>
      </c>
      <c r="W90" s="4">
        <f>O90-V90</f>
        <v>0</v>
      </c>
      <c r="X90" s="6"/>
      <c r="Y90" s="6">
        <f t="shared" si="46"/>
        <v>0</v>
      </c>
      <c r="Z90" s="6">
        <f>W90-Y90</f>
        <v>0</v>
      </c>
    </row>
    <row r="91" spans="2:26" s="4" customFormat="1">
      <c r="B91" s="57" t="s">
        <v>288</v>
      </c>
      <c r="C91" s="4" t="s">
        <v>287</v>
      </c>
      <c r="D91" s="58" t="s">
        <v>53</v>
      </c>
      <c r="E91" s="57">
        <f>IF(D91=$B$11,H91,0)</f>
        <v>0</v>
      </c>
      <c r="F91" s="57">
        <f>IF(E91&gt;0,0,1)</f>
        <v>1</v>
      </c>
      <c r="G91" s="58" t="s">
        <v>286</v>
      </c>
      <c r="H91" s="58">
        <v>14</v>
      </c>
      <c r="I91" s="58"/>
      <c r="J91" s="58" t="s">
        <v>270</v>
      </c>
      <c r="K91" s="57" t="s">
        <v>118</v>
      </c>
      <c r="L91" s="7"/>
      <c r="M91" s="5"/>
      <c r="O91" s="51">
        <v>2496</v>
      </c>
      <c r="P91" s="6">
        <f>ROUND((O91*0.4),0)</f>
        <v>998</v>
      </c>
      <c r="Q91" s="4">
        <f>IF(O91&gt;0,((O91+300)-P91),0)</f>
        <v>1798</v>
      </c>
      <c r="R91" s="56">
        <v>41797</v>
      </c>
      <c r="S91" s="64" t="s">
        <v>51</v>
      </c>
      <c r="T91" s="59" t="s">
        <v>312</v>
      </c>
      <c r="U91" s="6">
        <f>Q91+P91</f>
        <v>2796</v>
      </c>
      <c r="V91" s="6">
        <f t="shared" si="45"/>
        <v>70</v>
      </c>
      <c r="W91" s="4">
        <f>O91-V91</f>
        <v>2426</v>
      </c>
      <c r="X91" s="6"/>
      <c r="Y91" s="6">
        <f t="shared" si="46"/>
        <v>30</v>
      </c>
      <c r="Z91" s="6">
        <f>W91-Y91</f>
        <v>2396</v>
      </c>
    </row>
    <row r="92" spans="2:26" s="4" customFormat="1">
      <c r="B92" s="94" t="s">
        <v>307</v>
      </c>
      <c r="C92" s="57" t="s">
        <v>308</v>
      </c>
      <c r="D92" s="58" t="s">
        <v>253</v>
      </c>
      <c r="E92" s="57">
        <f>IF(D92=$B$11,H92,0)</f>
        <v>0</v>
      </c>
      <c r="F92" s="57">
        <f>IF(E92&gt;0,0,1)</f>
        <v>1</v>
      </c>
      <c r="G92" s="111" t="s">
        <v>309</v>
      </c>
      <c r="H92" s="58">
        <v>5</v>
      </c>
      <c r="I92" s="58"/>
      <c r="J92" s="58" t="s">
        <v>123</v>
      </c>
      <c r="K92" s="57" t="s">
        <v>118</v>
      </c>
      <c r="L92" s="59"/>
      <c r="M92" s="60"/>
      <c r="N92" s="57"/>
      <c r="O92" s="51">
        <v>967</v>
      </c>
      <c r="P92" s="6">
        <f>ROUND((O92*0.4),0)</f>
        <v>387</v>
      </c>
      <c r="Q92" s="4">
        <f>IF(O92&gt;0,((O92+300)-P92),0)</f>
        <v>880</v>
      </c>
      <c r="R92" s="56" t="s">
        <v>50</v>
      </c>
      <c r="S92" s="3" t="s">
        <v>51</v>
      </c>
      <c r="T92" s="112" t="s">
        <v>313</v>
      </c>
      <c r="U92" s="6">
        <f>Q92+P92</f>
        <v>1267</v>
      </c>
      <c r="V92" s="6">
        <f t="shared" si="45"/>
        <v>70</v>
      </c>
      <c r="W92" s="4">
        <f>O92-V92</f>
        <v>897</v>
      </c>
      <c r="X92" s="6"/>
      <c r="Y92" s="6">
        <f t="shared" si="46"/>
        <v>30</v>
      </c>
      <c r="Z92" s="6">
        <f>W92-Y92</f>
        <v>867</v>
      </c>
    </row>
    <row r="93" spans="2:26" s="4" customFormat="1">
      <c r="B93" s="58" t="s">
        <v>296</v>
      </c>
      <c r="C93" s="4" t="s">
        <v>297</v>
      </c>
      <c r="D93" s="58" t="s">
        <v>53</v>
      </c>
      <c r="E93" s="57">
        <f>IF(D93=$B$11,H93,0)</f>
        <v>0</v>
      </c>
      <c r="F93" s="57">
        <f>IF(E93&gt;0,0,1)</f>
        <v>1</v>
      </c>
      <c r="G93" s="58" t="s">
        <v>298</v>
      </c>
      <c r="H93" s="58">
        <v>7</v>
      </c>
      <c r="I93" s="58"/>
      <c r="J93" s="58" t="s">
        <v>135</v>
      </c>
      <c r="K93" s="57" t="s">
        <v>118</v>
      </c>
      <c r="L93" s="7"/>
      <c r="M93" s="5"/>
      <c r="O93" s="51">
        <v>1358</v>
      </c>
      <c r="P93" s="6">
        <f>ROUND((O93*0.4),0)</f>
        <v>543</v>
      </c>
      <c r="Q93" s="4">
        <f>IF(O93&gt;0,((O93+300)-P93),0)</f>
        <v>1115</v>
      </c>
      <c r="R93" s="56">
        <v>41818</v>
      </c>
      <c r="S93" s="64" t="s">
        <v>51</v>
      </c>
      <c r="T93" s="59" t="s">
        <v>21</v>
      </c>
      <c r="U93" s="6">
        <f>Q93+P93</f>
        <v>1658</v>
      </c>
      <c r="V93" s="6">
        <f t="shared" si="45"/>
        <v>70</v>
      </c>
      <c r="W93" s="4">
        <f>O93-V93</f>
        <v>1288</v>
      </c>
      <c r="X93" s="6"/>
      <c r="Y93" s="6">
        <f t="shared" si="46"/>
        <v>30</v>
      </c>
      <c r="Z93" s="6">
        <f>W93-Y93</f>
        <v>1258</v>
      </c>
    </row>
    <row r="94" spans="2:26" s="4" customFormat="1">
      <c r="B94" s="58" t="s">
        <v>160</v>
      </c>
      <c r="C94" s="4" t="s">
        <v>306</v>
      </c>
      <c r="D94" s="58" t="s">
        <v>53</v>
      </c>
      <c r="E94" s="57">
        <f t="shared" si="47"/>
        <v>0</v>
      </c>
      <c r="F94" s="57">
        <f t="shared" si="48"/>
        <v>1</v>
      </c>
      <c r="G94" s="58" t="s">
        <v>264</v>
      </c>
      <c r="H94" s="58">
        <v>7</v>
      </c>
      <c r="I94" s="58"/>
      <c r="J94" s="58" t="s">
        <v>61</v>
      </c>
      <c r="K94" s="57" t="s">
        <v>118</v>
      </c>
      <c r="L94" s="7"/>
      <c r="M94" s="5"/>
      <c r="O94" s="51">
        <v>582</v>
      </c>
      <c r="P94" s="6">
        <f t="shared" si="49"/>
        <v>233</v>
      </c>
      <c r="Q94" s="4">
        <f t="shared" si="50"/>
        <v>649</v>
      </c>
      <c r="R94" s="56">
        <v>41840</v>
      </c>
      <c r="S94" s="3" t="s">
        <v>51</v>
      </c>
      <c r="T94" s="59" t="s">
        <v>21</v>
      </c>
      <c r="U94" s="6">
        <f t="shared" si="51"/>
        <v>882</v>
      </c>
      <c r="V94" s="6">
        <f t="shared" si="45"/>
        <v>70</v>
      </c>
      <c r="W94" s="4">
        <f t="shared" si="52"/>
        <v>512</v>
      </c>
      <c r="X94" s="6"/>
      <c r="Y94" s="6">
        <f t="shared" si="46"/>
        <v>30</v>
      </c>
      <c r="Z94" s="6">
        <f t="shared" si="53"/>
        <v>482</v>
      </c>
    </row>
    <row r="95" spans="2:26" s="4" customFormat="1" ht="15.6">
      <c r="B95" s="104" t="s">
        <v>261</v>
      </c>
      <c r="C95" s="57" t="s">
        <v>262</v>
      </c>
      <c r="D95" s="58" t="s">
        <v>53</v>
      </c>
      <c r="E95" s="57">
        <f t="shared" ref="E95:E100" si="54">IF(D95=$B$11,H95,0)</f>
        <v>0</v>
      </c>
      <c r="F95" s="57">
        <f t="shared" ref="F95:F100" si="55">IF(E95&gt;0,0,1)</f>
        <v>1</v>
      </c>
      <c r="G95" s="58" t="s">
        <v>263</v>
      </c>
      <c r="H95" s="58">
        <v>7</v>
      </c>
      <c r="I95" s="58"/>
      <c r="J95" s="57" t="s">
        <v>231</v>
      </c>
      <c r="K95" s="57" t="s">
        <v>118</v>
      </c>
      <c r="L95" s="59"/>
      <c r="M95" s="60"/>
      <c r="N95" s="57"/>
      <c r="O95" s="51">
        <v>748</v>
      </c>
      <c r="P95" s="61">
        <f>ROUND((O95*0.4),0)</f>
        <v>299</v>
      </c>
      <c r="Q95" s="57">
        <f t="shared" ref="Q95:Q100" si="56">IF(O95&gt;0,((O95+300)-P95),0)</f>
        <v>749</v>
      </c>
      <c r="R95" s="56" t="s">
        <v>301</v>
      </c>
      <c r="S95" s="3" t="s">
        <v>51</v>
      </c>
      <c r="T95" s="59" t="s">
        <v>21</v>
      </c>
      <c r="U95" s="6">
        <f t="shared" ref="U95:U100" si="57">Q95+P95</f>
        <v>1048</v>
      </c>
      <c r="V95" s="6">
        <f t="shared" si="45"/>
        <v>70</v>
      </c>
      <c r="W95" s="4">
        <f t="shared" ref="W95:W100" si="58">O95-V95</f>
        <v>678</v>
      </c>
      <c r="X95" s="6"/>
      <c r="Y95" s="6">
        <f t="shared" si="46"/>
        <v>30</v>
      </c>
      <c r="Z95" s="6">
        <f t="shared" ref="Z95:Z100" si="59">W95-Y95</f>
        <v>648</v>
      </c>
    </row>
    <row r="96" spans="2:26" s="4" customFormat="1">
      <c r="B96" s="94" t="s">
        <v>244</v>
      </c>
      <c r="C96" s="4" t="s">
        <v>243</v>
      </c>
      <c r="D96" s="57" t="s">
        <v>48</v>
      </c>
      <c r="E96" s="57">
        <f t="shared" si="54"/>
        <v>0</v>
      </c>
      <c r="F96" s="57">
        <f t="shared" si="55"/>
        <v>1</v>
      </c>
      <c r="G96" s="57" t="s">
        <v>245</v>
      </c>
      <c r="H96" s="58">
        <v>9</v>
      </c>
      <c r="I96" s="58"/>
      <c r="J96" s="57" t="s">
        <v>205</v>
      </c>
      <c r="K96" s="57" t="s">
        <v>118</v>
      </c>
      <c r="L96" s="7"/>
      <c r="M96" s="5"/>
      <c r="O96" s="51">
        <v>935</v>
      </c>
      <c r="P96" s="6">
        <f>ROUND((O96*0.4),0)</f>
        <v>374</v>
      </c>
      <c r="Q96" s="4">
        <f t="shared" si="56"/>
        <v>861</v>
      </c>
      <c r="R96" s="56">
        <v>41483</v>
      </c>
      <c r="S96" s="3" t="s">
        <v>51</v>
      </c>
      <c r="T96" s="59" t="s">
        <v>317</v>
      </c>
      <c r="U96" s="6">
        <f t="shared" si="57"/>
        <v>1235</v>
      </c>
      <c r="V96" s="6">
        <f t="shared" si="45"/>
        <v>70</v>
      </c>
      <c r="W96" s="4">
        <f t="shared" si="58"/>
        <v>865</v>
      </c>
      <c r="X96" s="6"/>
      <c r="Y96" s="6">
        <f t="shared" si="46"/>
        <v>30</v>
      </c>
      <c r="Z96" s="6">
        <f t="shared" si="59"/>
        <v>835</v>
      </c>
    </row>
    <row r="97" spans="1:26" s="4" customFormat="1" ht="15.6">
      <c r="B97" s="104" t="s">
        <v>318</v>
      </c>
      <c r="C97" s="4" t="s">
        <v>248</v>
      </c>
      <c r="D97" s="58" t="s">
        <v>53</v>
      </c>
      <c r="E97" s="57">
        <f t="shared" si="54"/>
        <v>0</v>
      </c>
      <c r="F97" s="57">
        <f t="shared" si="55"/>
        <v>1</v>
      </c>
      <c r="G97" s="58" t="s">
        <v>250</v>
      </c>
      <c r="H97" s="58">
        <v>8</v>
      </c>
      <c r="I97" s="58"/>
      <c r="J97" s="58" t="s">
        <v>249</v>
      </c>
      <c r="K97" s="57" t="s">
        <v>118</v>
      </c>
      <c r="L97" s="59"/>
      <c r="M97" s="60"/>
      <c r="N97" s="57"/>
      <c r="O97" s="51">
        <v>683</v>
      </c>
      <c r="P97" s="6">
        <f>ROUND((O97*0.4),0)</f>
        <v>273</v>
      </c>
      <c r="Q97" s="4">
        <f t="shared" si="56"/>
        <v>710</v>
      </c>
      <c r="R97" s="109" t="s">
        <v>276</v>
      </c>
      <c r="S97" s="3" t="s">
        <v>51</v>
      </c>
      <c r="T97" s="59" t="s">
        <v>149</v>
      </c>
      <c r="U97" s="6">
        <f t="shared" si="57"/>
        <v>983</v>
      </c>
      <c r="V97" s="6">
        <f t="shared" si="45"/>
        <v>70</v>
      </c>
      <c r="W97" s="4">
        <f t="shared" si="58"/>
        <v>613</v>
      </c>
      <c r="X97" s="6"/>
      <c r="Y97" s="6">
        <f t="shared" si="46"/>
        <v>30</v>
      </c>
      <c r="Z97" s="6">
        <f t="shared" si="59"/>
        <v>583</v>
      </c>
    </row>
    <row r="98" spans="1:26" s="4" customFormat="1">
      <c r="B98" s="97" t="s">
        <v>319</v>
      </c>
      <c r="C98" s="4" t="s">
        <v>265</v>
      </c>
      <c r="D98" s="58" t="s">
        <v>53</v>
      </c>
      <c r="E98" s="57">
        <f t="shared" si="54"/>
        <v>0</v>
      </c>
      <c r="F98" s="57">
        <f t="shared" si="55"/>
        <v>1</v>
      </c>
      <c r="G98" s="97" t="s">
        <v>266</v>
      </c>
      <c r="H98" s="58">
        <v>14</v>
      </c>
      <c r="I98" s="58"/>
      <c r="J98" s="58" t="s">
        <v>61</v>
      </c>
      <c r="K98" s="57" t="s">
        <v>118</v>
      </c>
      <c r="L98" s="7"/>
      <c r="M98" s="5"/>
      <c r="O98" s="51">
        <v>1024</v>
      </c>
      <c r="P98" s="6">
        <f>ROUND((O98*0.4),0)</f>
        <v>410</v>
      </c>
      <c r="Q98" s="4">
        <f t="shared" si="56"/>
        <v>914</v>
      </c>
      <c r="R98" s="56">
        <v>41868</v>
      </c>
      <c r="S98" s="3" t="s">
        <v>51</v>
      </c>
      <c r="T98" s="59" t="s">
        <v>149</v>
      </c>
      <c r="U98" s="6">
        <f t="shared" si="57"/>
        <v>1324</v>
      </c>
      <c r="V98" s="6">
        <f t="shared" si="45"/>
        <v>70</v>
      </c>
      <c r="W98" s="4">
        <f t="shared" si="58"/>
        <v>954</v>
      </c>
      <c r="X98" s="6"/>
      <c r="Y98" s="6">
        <f t="shared" si="46"/>
        <v>30</v>
      </c>
      <c r="Z98" s="6">
        <f t="shared" si="59"/>
        <v>924</v>
      </c>
    </row>
    <row r="99" spans="1:26" s="4" customFormat="1">
      <c r="B99" s="57" t="s">
        <v>303</v>
      </c>
      <c r="C99" s="114" t="s">
        <v>304</v>
      </c>
      <c r="D99" s="58" t="s">
        <v>53</v>
      </c>
      <c r="E99" s="57">
        <f t="shared" si="54"/>
        <v>0</v>
      </c>
      <c r="F99" s="57">
        <f t="shared" si="55"/>
        <v>1</v>
      </c>
      <c r="G99" s="58" t="s">
        <v>305</v>
      </c>
      <c r="H99" s="58">
        <v>6</v>
      </c>
      <c r="I99" s="58"/>
      <c r="J99" s="58" t="s">
        <v>61</v>
      </c>
      <c r="K99" s="57" t="s">
        <v>118</v>
      </c>
      <c r="L99" s="7"/>
      <c r="M99" s="5"/>
      <c r="O99" s="51">
        <v>536</v>
      </c>
      <c r="P99" s="6">
        <f>ROUND((O99*0.4),0)</f>
        <v>214</v>
      </c>
      <c r="Q99" s="4">
        <f t="shared" si="56"/>
        <v>622</v>
      </c>
      <c r="R99" s="8">
        <v>41852</v>
      </c>
      <c r="S99" s="3" t="s">
        <v>51</v>
      </c>
      <c r="T99" s="113" t="s">
        <v>320</v>
      </c>
      <c r="U99" s="6">
        <f t="shared" si="57"/>
        <v>836</v>
      </c>
      <c r="V99" s="6">
        <f t="shared" si="45"/>
        <v>70</v>
      </c>
      <c r="W99" s="4">
        <f t="shared" si="58"/>
        <v>466</v>
      </c>
      <c r="X99" s="6"/>
      <c r="Y99" s="6">
        <f t="shared" si="46"/>
        <v>30</v>
      </c>
      <c r="Z99" s="6">
        <f t="shared" si="59"/>
        <v>436</v>
      </c>
    </row>
    <row r="100" spans="1:26" s="4" customFormat="1" ht="15.6">
      <c r="B100" s="99" t="s">
        <v>258</v>
      </c>
      <c r="C100" s="4" t="s">
        <v>311</v>
      </c>
      <c r="D100" s="97" t="s">
        <v>253</v>
      </c>
      <c r="E100" s="97">
        <f t="shared" si="54"/>
        <v>0</v>
      </c>
      <c r="F100" s="97">
        <f t="shared" si="55"/>
        <v>1</v>
      </c>
      <c r="G100" s="115" t="s">
        <v>302</v>
      </c>
      <c r="H100" s="97">
        <v>120</v>
      </c>
      <c r="I100" s="97"/>
      <c r="J100" s="97" t="s">
        <v>216</v>
      </c>
      <c r="K100" s="106" t="s">
        <v>259</v>
      </c>
      <c r="L100" s="107"/>
      <c r="M100" s="108"/>
      <c r="N100" s="98"/>
      <c r="O100" s="51">
        <v>4528</v>
      </c>
      <c r="P100" s="6">
        <v>2245</v>
      </c>
      <c r="Q100" s="4">
        <f t="shared" si="56"/>
        <v>2583</v>
      </c>
      <c r="R100" s="56">
        <v>41523</v>
      </c>
      <c r="S100" s="3" t="s">
        <v>51</v>
      </c>
      <c r="T100" s="113" t="s">
        <v>360</v>
      </c>
      <c r="U100" s="6">
        <f t="shared" si="57"/>
        <v>4828</v>
      </c>
      <c r="V100" s="6">
        <f t="shared" si="45"/>
        <v>70</v>
      </c>
      <c r="W100" s="4">
        <f t="shared" si="58"/>
        <v>4458</v>
      </c>
      <c r="X100" s="6"/>
      <c r="Y100" s="6">
        <f t="shared" si="46"/>
        <v>30</v>
      </c>
      <c r="Z100" s="6">
        <f t="shared" si="59"/>
        <v>4428</v>
      </c>
    </row>
    <row r="101" spans="1:26" s="4" customFormat="1">
      <c r="A101" s="43"/>
      <c r="B101" s="44"/>
      <c r="C101" s="45"/>
      <c r="D101" s="44"/>
      <c r="E101" s="44"/>
      <c r="F101" s="44"/>
      <c r="G101" s="44"/>
      <c r="H101" s="44"/>
      <c r="I101" s="44"/>
      <c r="J101" s="44"/>
      <c r="K101" s="43"/>
      <c r="L101" s="46"/>
      <c r="M101" s="47"/>
      <c r="N101" s="43"/>
      <c r="O101" s="48">
        <f>SUM(O79:O100)</f>
        <v>24804</v>
      </c>
      <c r="P101" s="49"/>
      <c r="Q101" s="43"/>
      <c r="R101" s="50"/>
      <c r="S101" s="48"/>
      <c r="T101" s="46"/>
      <c r="U101" s="49"/>
      <c r="V101" s="49"/>
      <c r="W101" s="43"/>
      <c r="X101" s="49"/>
      <c r="Y101" s="49"/>
      <c r="Z101" s="48">
        <f>SUM(Z79:Z100)</f>
        <v>22704</v>
      </c>
    </row>
    <row r="102" spans="1:26" s="4" customFormat="1" ht="23.4">
      <c r="A102" s="76"/>
      <c r="B102" s="83">
        <v>2015</v>
      </c>
      <c r="C102" s="78"/>
      <c r="D102" s="77"/>
      <c r="E102" s="77"/>
      <c r="F102" s="77"/>
      <c r="G102" s="77"/>
      <c r="H102" s="81" t="s">
        <v>368</v>
      </c>
      <c r="I102" s="77"/>
      <c r="J102" s="77"/>
      <c r="K102" s="76"/>
      <c r="L102" s="79"/>
      <c r="M102" s="80"/>
      <c r="N102" s="76"/>
      <c r="O102" s="82" t="s">
        <v>17</v>
      </c>
      <c r="P102" s="82" t="s">
        <v>18</v>
      </c>
      <c r="Q102" s="82" t="s">
        <v>19</v>
      </c>
      <c r="R102" s="82" t="s">
        <v>20</v>
      </c>
      <c r="S102" s="82" t="s">
        <v>39</v>
      </c>
      <c r="T102" s="79" t="s">
        <v>21</v>
      </c>
      <c r="U102" s="82" t="s">
        <v>7</v>
      </c>
      <c r="V102" s="82"/>
      <c r="W102" s="76"/>
      <c r="X102" s="82"/>
      <c r="Y102" s="82"/>
      <c r="Z102" s="81"/>
    </row>
    <row r="103" spans="1:26" s="4" customFormat="1">
      <c r="B103" s="15"/>
      <c r="D103" s="58"/>
      <c r="E103" s="4">
        <f>IF(D103=$B$11,H103,0)</f>
        <v>0</v>
      </c>
      <c r="F103" s="4">
        <f>IF(E103&gt;0,0,1)</f>
        <v>1</v>
      </c>
      <c r="G103" s="58"/>
      <c r="H103" s="15"/>
      <c r="I103" s="15"/>
      <c r="J103" s="57"/>
      <c r="K103" s="57"/>
      <c r="L103" s="7"/>
      <c r="M103" s="5"/>
      <c r="O103" s="51">
        <v>0</v>
      </c>
      <c r="P103" s="6">
        <f>ROUND((O103*0.4),0)</f>
        <v>0</v>
      </c>
      <c r="Q103" s="4">
        <f>IF(O103&gt;0,((O103+300)-P103),0)</f>
        <v>0</v>
      </c>
      <c r="R103" s="8"/>
      <c r="S103" s="3" t="s">
        <v>51</v>
      </c>
      <c r="T103" s="59"/>
      <c r="U103" s="6">
        <f t="shared" ref="U103:U122" si="60">Q103+P103</f>
        <v>0</v>
      </c>
      <c r="V103" s="6">
        <f t="shared" ref="V103:V130" si="61">IF(H103&gt;0,70,0)</f>
        <v>0</v>
      </c>
      <c r="W103" s="4">
        <f t="shared" ref="W103:W122" si="62">O103-V103</f>
        <v>0</v>
      </c>
      <c r="X103" s="6"/>
      <c r="Y103" s="6">
        <f t="shared" ref="Y103:Y130" si="63">IF(H103&gt;0,30*F103,0)</f>
        <v>0</v>
      </c>
      <c r="Z103" s="6">
        <f t="shared" ref="Z103:Z122" si="64">W103-Y103</f>
        <v>0</v>
      </c>
    </row>
    <row r="104" spans="1:26" s="4" customFormat="1" ht="15.6">
      <c r="B104" s="105" t="s">
        <v>355</v>
      </c>
      <c r="C104" s="57" t="s">
        <v>325</v>
      </c>
      <c r="D104" s="57" t="s">
        <v>253</v>
      </c>
      <c r="E104" s="58"/>
      <c r="F104" s="58"/>
      <c r="G104" s="58" t="s">
        <v>326</v>
      </c>
      <c r="H104" s="58">
        <v>14</v>
      </c>
      <c r="I104" s="58"/>
      <c r="J104" s="57" t="s">
        <v>216</v>
      </c>
      <c r="K104" s="57" t="s">
        <v>118</v>
      </c>
      <c r="L104" s="87"/>
      <c r="M104" s="97"/>
      <c r="N104" s="58"/>
      <c r="O104" s="85">
        <v>782</v>
      </c>
      <c r="P104" s="16">
        <v>500</v>
      </c>
      <c r="Q104" s="4">
        <f>IF(O104&gt;0,((O104+300)-P104),0)</f>
        <v>582</v>
      </c>
      <c r="R104" s="96">
        <v>41673</v>
      </c>
      <c r="S104" s="3" t="s">
        <v>51</v>
      </c>
      <c r="T104" s="59" t="s">
        <v>374</v>
      </c>
      <c r="U104" s="16">
        <f t="shared" si="60"/>
        <v>1082</v>
      </c>
      <c r="V104" s="16">
        <f t="shared" si="61"/>
        <v>70</v>
      </c>
      <c r="W104" s="15">
        <f t="shared" si="62"/>
        <v>712</v>
      </c>
      <c r="X104" s="16"/>
      <c r="Y104" s="16">
        <f t="shared" si="63"/>
        <v>0</v>
      </c>
      <c r="Z104" s="16">
        <f t="shared" si="64"/>
        <v>712</v>
      </c>
    </row>
    <row r="105" spans="1:26" s="4" customFormat="1" ht="15.6">
      <c r="B105" s="123" t="s">
        <v>387</v>
      </c>
      <c r="C105" s="4" t="s">
        <v>370</v>
      </c>
      <c r="D105" s="97" t="s">
        <v>214</v>
      </c>
      <c r="E105" s="97">
        <f t="shared" ref="E105:E124" si="65">IF(D105=$B$11,H105,0)</f>
        <v>0</v>
      </c>
      <c r="F105" s="97">
        <f t="shared" ref="F105:F124" si="66">IF(E105&gt;0,0,1)</f>
        <v>1</v>
      </c>
      <c r="G105" s="97" t="s">
        <v>369</v>
      </c>
      <c r="H105" s="97">
        <v>11</v>
      </c>
      <c r="I105" s="97"/>
      <c r="J105" s="57" t="s">
        <v>54</v>
      </c>
      <c r="K105" s="57" t="s">
        <v>118</v>
      </c>
      <c r="L105" s="7"/>
      <c r="M105" s="5"/>
      <c r="O105" s="51">
        <v>622</v>
      </c>
      <c r="P105" s="6">
        <v>822</v>
      </c>
      <c r="Q105" s="4">
        <v>0</v>
      </c>
      <c r="R105" s="8" t="s">
        <v>50</v>
      </c>
      <c r="S105" s="3" t="s">
        <v>51</v>
      </c>
      <c r="T105" s="59" t="s">
        <v>380</v>
      </c>
      <c r="U105" s="6">
        <f t="shared" si="60"/>
        <v>822</v>
      </c>
      <c r="V105" s="6">
        <f t="shared" si="61"/>
        <v>70</v>
      </c>
      <c r="W105" s="4">
        <f t="shared" si="62"/>
        <v>552</v>
      </c>
      <c r="X105" s="6"/>
      <c r="Y105" s="6">
        <f t="shared" si="63"/>
        <v>30</v>
      </c>
      <c r="Z105" s="6">
        <f t="shared" si="64"/>
        <v>522</v>
      </c>
    </row>
    <row r="106" spans="1:26" s="4" customFormat="1" ht="15.6">
      <c r="B106" s="121" t="s">
        <v>375</v>
      </c>
      <c r="C106" s="4" t="s">
        <v>379</v>
      </c>
      <c r="D106" s="97" t="s">
        <v>53</v>
      </c>
      <c r="E106" s="97">
        <f t="shared" si="65"/>
        <v>0</v>
      </c>
      <c r="F106" s="97">
        <f t="shared" si="66"/>
        <v>1</v>
      </c>
      <c r="G106" s="97" t="s">
        <v>376</v>
      </c>
      <c r="H106" s="97">
        <v>5</v>
      </c>
      <c r="I106" s="97"/>
      <c r="J106" s="57" t="s">
        <v>378</v>
      </c>
      <c r="K106" s="57" t="s">
        <v>377</v>
      </c>
      <c r="L106" s="7"/>
      <c r="M106" s="5"/>
      <c r="O106" s="51">
        <v>461</v>
      </c>
      <c r="P106" s="6">
        <f>ROUND((O106*0.4),0)</f>
        <v>184</v>
      </c>
      <c r="Q106" s="4">
        <f>IF(O106&gt;0,((O106+300)-P106),0)</f>
        <v>577</v>
      </c>
      <c r="R106" s="8" t="s">
        <v>50</v>
      </c>
      <c r="S106" s="3" t="s">
        <v>51</v>
      </c>
      <c r="T106" s="59" t="s">
        <v>385</v>
      </c>
      <c r="U106" s="6">
        <f t="shared" si="60"/>
        <v>761</v>
      </c>
      <c r="V106" s="6">
        <f t="shared" si="61"/>
        <v>70</v>
      </c>
      <c r="W106" s="4">
        <f t="shared" si="62"/>
        <v>391</v>
      </c>
      <c r="X106" s="6"/>
      <c r="Y106" s="6">
        <f t="shared" si="63"/>
        <v>30</v>
      </c>
      <c r="Z106" s="6">
        <f t="shared" si="64"/>
        <v>361</v>
      </c>
    </row>
    <row r="107" spans="1:26" s="4" customFormat="1" ht="15.6">
      <c r="B107" s="121" t="s">
        <v>339</v>
      </c>
      <c r="C107" s="57" t="s">
        <v>344</v>
      </c>
      <c r="D107" s="97" t="s">
        <v>53</v>
      </c>
      <c r="E107" s="97">
        <f t="shared" si="65"/>
        <v>0</v>
      </c>
      <c r="F107" s="97">
        <f t="shared" si="66"/>
        <v>1</v>
      </c>
      <c r="G107" s="97" t="s">
        <v>340</v>
      </c>
      <c r="H107" s="97">
        <v>7</v>
      </c>
      <c r="I107" s="97"/>
      <c r="J107" s="58" t="s">
        <v>341</v>
      </c>
      <c r="K107" s="57" t="s">
        <v>118</v>
      </c>
      <c r="L107" s="7"/>
      <c r="M107" s="5"/>
      <c r="O107" s="51">
        <v>634</v>
      </c>
      <c r="P107" s="6">
        <f>ROUND((O107*0.4),0)</f>
        <v>254</v>
      </c>
      <c r="Q107" s="4">
        <f>IF(O107&gt;0,((O107+300)-P107),0)</f>
        <v>680</v>
      </c>
      <c r="R107" s="56">
        <v>42049</v>
      </c>
      <c r="S107" s="3" t="s">
        <v>51</v>
      </c>
      <c r="T107" s="59" t="s">
        <v>21</v>
      </c>
      <c r="U107" s="6">
        <f>Q107+P107</f>
        <v>934</v>
      </c>
      <c r="V107" s="6">
        <f>IF(H107&gt;0,70,0)</f>
        <v>70</v>
      </c>
      <c r="W107" s="4">
        <f>O107-V107</f>
        <v>564</v>
      </c>
      <c r="X107" s="6"/>
      <c r="Y107" s="6">
        <f>IF(H107&gt;0,30*F107,0)</f>
        <v>30</v>
      </c>
      <c r="Z107" s="6">
        <f>W107-Y107</f>
        <v>534</v>
      </c>
    </row>
    <row r="108" spans="1:26" s="4" customFormat="1" ht="15.6">
      <c r="B108" s="105" t="s">
        <v>332</v>
      </c>
      <c r="C108" s="4" t="s">
        <v>333</v>
      </c>
      <c r="D108" s="97" t="s">
        <v>53</v>
      </c>
      <c r="E108" s="97">
        <f t="shared" si="65"/>
        <v>0</v>
      </c>
      <c r="F108" s="97">
        <f t="shared" si="66"/>
        <v>1</v>
      </c>
      <c r="G108" s="97" t="s">
        <v>334</v>
      </c>
      <c r="H108" s="97">
        <v>7</v>
      </c>
      <c r="I108" s="97"/>
      <c r="J108" s="57" t="s">
        <v>216</v>
      </c>
      <c r="K108" s="57" t="s">
        <v>118</v>
      </c>
      <c r="L108" s="7"/>
      <c r="M108" s="5"/>
      <c r="O108" s="51">
        <v>610</v>
      </c>
      <c r="P108" s="6">
        <f>ROUND((O108*0.4),0)</f>
        <v>244</v>
      </c>
      <c r="Q108" s="4">
        <f t="shared" ref="Q108:Q122" si="67">IF(O108&gt;0,((O108+300)-P108),0)</f>
        <v>666</v>
      </c>
      <c r="R108" s="56">
        <v>42052</v>
      </c>
      <c r="S108" s="3" t="s">
        <v>51</v>
      </c>
      <c r="T108" s="59" t="s">
        <v>21</v>
      </c>
      <c r="U108" s="6">
        <f t="shared" si="60"/>
        <v>910</v>
      </c>
      <c r="V108" s="6">
        <f t="shared" si="61"/>
        <v>70</v>
      </c>
      <c r="W108" s="4">
        <f t="shared" si="62"/>
        <v>540</v>
      </c>
      <c r="X108" s="6"/>
      <c r="Y108" s="6">
        <f t="shared" si="63"/>
        <v>30</v>
      </c>
      <c r="Z108" s="6">
        <f t="shared" si="64"/>
        <v>510</v>
      </c>
    </row>
    <row r="109" spans="1:26" s="4" customFormat="1" ht="15.6">
      <c r="B109" s="121" t="s">
        <v>362</v>
      </c>
      <c r="C109" s="4" t="s">
        <v>363</v>
      </c>
      <c r="D109" s="97" t="s">
        <v>59</v>
      </c>
      <c r="E109" s="97">
        <f t="shared" si="65"/>
        <v>0</v>
      </c>
      <c r="F109" s="97">
        <f t="shared" si="66"/>
        <v>1</v>
      </c>
      <c r="G109" s="97" t="s">
        <v>361</v>
      </c>
      <c r="H109" s="97">
        <v>15</v>
      </c>
      <c r="I109" s="97"/>
      <c r="J109" s="57" t="s">
        <v>216</v>
      </c>
      <c r="K109" s="57" t="s">
        <v>118</v>
      </c>
      <c r="L109" s="7"/>
      <c r="M109" s="5"/>
      <c r="O109" s="51">
        <v>1356</v>
      </c>
      <c r="P109" s="61">
        <v>0</v>
      </c>
      <c r="Q109" s="57">
        <f t="shared" si="67"/>
        <v>1656</v>
      </c>
      <c r="R109" s="56" t="s">
        <v>50</v>
      </c>
      <c r="S109" s="64" t="s">
        <v>51</v>
      </c>
      <c r="T109" s="59" t="s">
        <v>389</v>
      </c>
      <c r="U109" s="6">
        <f>Q109+P109</f>
        <v>1656</v>
      </c>
      <c r="V109" s="6">
        <f>IF(H109&gt;0,70,0)</f>
        <v>70</v>
      </c>
      <c r="W109" s="4">
        <f>O109-V109</f>
        <v>1286</v>
      </c>
      <c r="X109" s="6"/>
      <c r="Y109" s="6">
        <f>IF(H109&gt;0,30*F109,0)</f>
        <v>30</v>
      </c>
      <c r="Z109" s="6">
        <f>W109-Y109</f>
        <v>1256</v>
      </c>
    </row>
    <row r="110" spans="1:26" s="4" customFormat="1" ht="15" customHeight="1">
      <c r="B110" s="105" t="s">
        <v>373</v>
      </c>
      <c r="C110" s="4" t="s">
        <v>372</v>
      </c>
      <c r="D110" s="97" t="s">
        <v>59</v>
      </c>
      <c r="E110" s="97">
        <f t="shared" si="65"/>
        <v>0</v>
      </c>
      <c r="F110" s="97">
        <f t="shared" si="66"/>
        <v>1</v>
      </c>
      <c r="G110" s="97" t="s">
        <v>371</v>
      </c>
      <c r="H110" s="97">
        <v>7</v>
      </c>
      <c r="I110" s="97"/>
      <c r="J110" s="57" t="s">
        <v>216</v>
      </c>
      <c r="K110" s="57" t="s">
        <v>118</v>
      </c>
      <c r="L110" s="7"/>
      <c r="M110" s="5"/>
      <c r="O110" s="51">
        <v>682</v>
      </c>
      <c r="P110" s="6">
        <v>982</v>
      </c>
      <c r="Q110" s="4">
        <f t="shared" si="67"/>
        <v>0</v>
      </c>
      <c r="R110" s="56" t="s">
        <v>50</v>
      </c>
      <c r="S110" s="3" t="s">
        <v>51</v>
      </c>
      <c r="T110" s="59" t="s">
        <v>388</v>
      </c>
      <c r="U110" s="6">
        <f>Q110+P110</f>
        <v>982</v>
      </c>
      <c r="V110" s="6">
        <f>IF(H110&gt;0,70,0)</f>
        <v>70</v>
      </c>
      <c r="W110" s="4">
        <f>O110-V110</f>
        <v>612</v>
      </c>
      <c r="X110" s="6"/>
      <c r="Y110" s="6">
        <f>IF(H110&gt;0,30*F110,0)</f>
        <v>30</v>
      </c>
      <c r="Z110" s="6">
        <f>W110-Y110</f>
        <v>582</v>
      </c>
    </row>
    <row r="111" spans="1:26" s="4" customFormat="1" ht="15.6">
      <c r="B111" s="121"/>
      <c r="C111" s="116"/>
      <c r="D111" s="97"/>
      <c r="E111" s="97">
        <f t="shared" si="65"/>
        <v>0</v>
      </c>
      <c r="F111" s="97">
        <f t="shared" si="66"/>
        <v>1</v>
      </c>
      <c r="G111" s="97"/>
      <c r="H111" s="97"/>
      <c r="I111" s="97"/>
      <c r="J111" s="58"/>
      <c r="K111" s="57"/>
      <c r="L111" s="7"/>
      <c r="M111" s="5"/>
      <c r="O111" s="51">
        <v>0</v>
      </c>
      <c r="P111" s="6">
        <f>ROUND((O111*0.4),0)</f>
        <v>0</v>
      </c>
      <c r="Q111" s="4">
        <f t="shared" si="67"/>
        <v>0</v>
      </c>
      <c r="R111" s="8"/>
      <c r="S111" s="3" t="s">
        <v>51</v>
      </c>
      <c r="T111" s="59"/>
      <c r="U111" s="6">
        <f>Q111+P111</f>
        <v>0</v>
      </c>
      <c r="V111" s="6">
        <f>IF(H111&gt;0,70,0)</f>
        <v>0</v>
      </c>
      <c r="W111" s="4">
        <f>O111-V111</f>
        <v>0</v>
      </c>
      <c r="X111" s="6"/>
      <c r="Y111" s="6">
        <f>IF(H111&gt;0,30*F111,0)</f>
        <v>0</v>
      </c>
      <c r="Z111" s="6">
        <f>W111-Y111</f>
        <v>0</v>
      </c>
    </row>
    <row r="112" spans="1:26" s="4" customFormat="1" ht="15.6">
      <c r="B112" s="121"/>
      <c r="C112" s="57"/>
      <c r="D112" s="97"/>
      <c r="E112" s="97">
        <f t="shared" si="65"/>
        <v>0</v>
      </c>
      <c r="F112" s="97">
        <f t="shared" si="66"/>
        <v>1</v>
      </c>
      <c r="G112" s="97"/>
      <c r="H112" s="97"/>
      <c r="I112" s="97"/>
      <c r="J112" s="58"/>
      <c r="K112" s="57"/>
      <c r="L112" s="7"/>
      <c r="M112" s="5"/>
      <c r="O112" s="51">
        <v>0</v>
      </c>
      <c r="P112" s="6">
        <f>ROUND((O112*0.4),0)</f>
        <v>0</v>
      </c>
      <c r="Q112" s="4">
        <f>IF(O112&gt;0,((O112+300)-P112),0)</f>
        <v>0</v>
      </c>
      <c r="R112" s="8"/>
      <c r="S112" s="3" t="s">
        <v>51</v>
      </c>
      <c r="T112" s="59"/>
      <c r="U112" s="6">
        <f>Q112+P112</f>
        <v>0</v>
      </c>
      <c r="V112" s="6">
        <f>IF(H112&gt;0,70,0)</f>
        <v>0</v>
      </c>
      <c r="W112" s="4">
        <f>O112-V112</f>
        <v>0</v>
      </c>
      <c r="X112" s="6"/>
      <c r="Y112" s="6">
        <f>IF(H112&gt;0,30*F112,0)</f>
        <v>0</v>
      </c>
      <c r="Z112" s="6">
        <f>W112-Y112</f>
        <v>0</v>
      </c>
    </row>
    <row r="113" spans="2:26" s="4" customFormat="1" ht="15.6">
      <c r="B113" s="105" t="s">
        <v>335</v>
      </c>
      <c r="C113" s="4" t="s">
        <v>336</v>
      </c>
      <c r="D113" s="97" t="s">
        <v>253</v>
      </c>
      <c r="E113" s="97">
        <f t="shared" si="65"/>
        <v>0</v>
      </c>
      <c r="F113" s="97">
        <f t="shared" si="66"/>
        <v>1</v>
      </c>
      <c r="G113" s="97" t="s">
        <v>337</v>
      </c>
      <c r="H113" s="97">
        <v>4</v>
      </c>
      <c r="I113" s="97"/>
      <c r="J113" s="58" t="s">
        <v>338</v>
      </c>
      <c r="K113" s="57" t="s">
        <v>118</v>
      </c>
      <c r="L113" s="7"/>
      <c r="M113" s="5"/>
      <c r="O113" s="51">
        <v>550</v>
      </c>
      <c r="P113" s="6">
        <f>ROUND((O113*0.4),0)</f>
        <v>220</v>
      </c>
      <c r="Q113" s="4">
        <f>IF(O113&gt;0,((O113+300)-P113),0)</f>
        <v>630</v>
      </c>
      <c r="R113" s="56">
        <v>42109</v>
      </c>
      <c r="S113" s="3" t="s">
        <v>51</v>
      </c>
      <c r="T113" s="59" t="s">
        <v>240</v>
      </c>
      <c r="U113" s="6">
        <f>Q113+P113</f>
        <v>850</v>
      </c>
      <c r="V113" s="6">
        <f>IF(H113&gt;0,70,0)</f>
        <v>70</v>
      </c>
      <c r="W113" s="4">
        <f>O113-V113</f>
        <v>480</v>
      </c>
      <c r="X113" s="6"/>
      <c r="Y113" s="6">
        <f>IF(H113&gt;0,30*F113,0)</f>
        <v>30</v>
      </c>
      <c r="Z113" s="6">
        <f>W113-Y113</f>
        <v>450</v>
      </c>
    </row>
    <row r="114" spans="2:26" s="4" customFormat="1" ht="15.6">
      <c r="B114" s="105" t="s">
        <v>323</v>
      </c>
      <c r="C114" s="4" t="s">
        <v>322</v>
      </c>
      <c r="D114" s="97" t="s">
        <v>59</v>
      </c>
      <c r="E114" s="97">
        <f t="shared" si="65"/>
        <v>0</v>
      </c>
      <c r="F114" s="97">
        <f t="shared" si="66"/>
        <v>1</v>
      </c>
      <c r="G114" s="97" t="s">
        <v>321</v>
      </c>
      <c r="H114" s="97">
        <v>7</v>
      </c>
      <c r="I114" s="97"/>
      <c r="J114" s="57" t="s">
        <v>231</v>
      </c>
      <c r="K114" s="57" t="s">
        <v>118</v>
      </c>
      <c r="L114" s="7"/>
      <c r="M114" s="5"/>
      <c r="O114" s="51">
        <v>868</v>
      </c>
      <c r="P114" s="6">
        <v>467</v>
      </c>
      <c r="Q114" s="4">
        <f t="shared" si="67"/>
        <v>701</v>
      </c>
      <c r="R114" s="56">
        <v>41749</v>
      </c>
      <c r="S114" s="3" t="s">
        <v>51</v>
      </c>
      <c r="T114" s="59" t="s">
        <v>394</v>
      </c>
      <c r="U114" s="6">
        <f t="shared" si="60"/>
        <v>1168</v>
      </c>
      <c r="V114" s="6">
        <f t="shared" si="61"/>
        <v>70</v>
      </c>
      <c r="W114" s="4">
        <f t="shared" si="62"/>
        <v>798</v>
      </c>
      <c r="X114" s="6"/>
      <c r="Y114" s="6">
        <f t="shared" si="63"/>
        <v>30</v>
      </c>
      <c r="Z114" s="6">
        <f t="shared" si="64"/>
        <v>768</v>
      </c>
    </row>
    <row r="115" spans="2:26" s="4" customFormat="1" ht="15.6">
      <c r="B115" s="121"/>
      <c r="C115" s="116"/>
      <c r="D115" s="97"/>
      <c r="E115" s="97">
        <f t="shared" si="65"/>
        <v>0</v>
      </c>
      <c r="F115" s="97">
        <f t="shared" si="66"/>
        <v>1</v>
      </c>
      <c r="G115" s="97"/>
      <c r="H115" s="97"/>
      <c r="I115" s="97"/>
      <c r="J115" s="58"/>
      <c r="K115" s="57"/>
      <c r="L115" s="7"/>
      <c r="M115" s="5"/>
      <c r="O115" s="51">
        <v>0</v>
      </c>
      <c r="P115" s="6">
        <f t="shared" ref="P115:P124" si="68">ROUND((O115*0.4),0)</f>
        <v>0</v>
      </c>
      <c r="Q115" s="4">
        <f>IF(O115&gt;0,((O115+300)-P115),0)</f>
        <v>0</v>
      </c>
      <c r="R115" s="8"/>
      <c r="S115" s="3" t="s">
        <v>51</v>
      </c>
      <c r="T115" s="59"/>
      <c r="U115" s="6">
        <f>Q115+P115</f>
        <v>0</v>
      </c>
      <c r="V115" s="6">
        <f>IF(H115&gt;0,70,0)</f>
        <v>0</v>
      </c>
      <c r="W115" s="4">
        <f>O115-V115</f>
        <v>0</v>
      </c>
      <c r="X115" s="6"/>
      <c r="Y115" s="6">
        <f>IF(H115&gt;0,30*F115,0)</f>
        <v>0</v>
      </c>
      <c r="Z115" s="6">
        <f>W115-Y115</f>
        <v>0</v>
      </c>
    </row>
    <row r="116" spans="2:26" s="4" customFormat="1" ht="15.6">
      <c r="B116" s="121" t="s">
        <v>351</v>
      </c>
      <c r="C116" s="57" t="s">
        <v>354</v>
      </c>
      <c r="D116" s="58" t="s">
        <v>253</v>
      </c>
      <c r="E116" s="57">
        <f t="shared" si="65"/>
        <v>0</v>
      </c>
      <c r="F116" s="57">
        <f t="shared" si="66"/>
        <v>1</v>
      </c>
      <c r="G116" s="97" t="s">
        <v>352</v>
      </c>
      <c r="H116" s="97">
        <v>6</v>
      </c>
      <c r="I116" s="15"/>
      <c r="J116" s="57" t="s">
        <v>231</v>
      </c>
      <c r="K116" s="57" t="s">
        <v>118</v>
      </c>
      <c r="L116" s="7"/>
      <c r="M116" s="5"/>
      <c r="O116" s="51">
        <v>1122</v>
      </c>
      <c r="P116" s="6">
        <f t="shared" si="68"/>
        <v>449</v>
      </c>
      <c r="Q116" s="4">
        <f t="shared" si="67"/>
        <v>973</v>
      </c>
      <c r="R116" s="56">
        <v>42131</v>
      </c>
      <c r="S116" s="3" t="s">
        <v>51</v>
      </c>
      <c r="T116" s="59" t="s">
        <v>21</v>
      </c>
      <c r="U116" s="6">
        <f t="shared" si="60"/>
        <v>1422</v>
      </c>
      <c r="V116" s="6">
        <f>IF(H116&gt;0,70,0)</f>
        <v>70</v>
      </c>
      <c r="W116" s="4">
        <f t="shared" si="62"/>
        <v>1052</v>
      </c>
      <c r="X116" s="6"/>
      <c r="Y116" s="6">
        <f>IF(H116&gt;0,30*F116,0)</f>
        <v>30</v>
      </c>
      <c r="Z116" s="6">
        <f t="shared" si="64"/>
        <v>1022</v>
      </c>
    </row>
    <row r="117" spans="2:26" s="4" customFormat="1" ht="15.6">
      <c r="B117" s="122" t="s">
        <v>348</v>
      </c>
      <c r="C117" s="4" t="s">
        <v>349</v>
      </c>
      <c r="D117" s="97" t="s">
        <v>53</v>
      </c>
      <c r="E117" s="97">
        <f t="shared" si="65"/>
        <v>0</v>
      </c>
      <c r="F117" s="97">
        <f t="shared" si="66"/>
        <v>1</v>
      </c>
      <c r="G117" s="97" t="s">
        <v>350</v>
      </c>
      <c r="H117" s="97">
        <v>8</v>
      </c>
      <c r="I117" s="97"/>
      <c r="J117" s="57" t="s">
        <v>341</v>
      </c>
      <c r="K117" s="57" t="s">
        <v>118</v>
      </c>
      <c r="L117" s="7"/>
      <c r="M117" s="5"/>
      <c r="O117" s="51">
        <v>1638</v>
      </c>
      <c r="P117" s="6">
        <f t="shared" si="68"/>
        <v>655</v>
      </c>
      <c r="Q117" s="4">
        <f>IF(O117&gt;0,((O117+300)-P117),0)</f>
        <v>1283</v>
      </c>
      <c r="R117" s="56">
        <v>42137</v>
      </c>
      <c r="S117" s="3" t="s">
        <v>51</v>
      </c>
      <c r="T117" s="59" t="s">
        <v>149</v>
      </c>
      <c r="U117" s="6">
        <f>Q117+P117</f>
        <v>1938</v>
      </c>
      <c r="V117" s="6">
        <f>IF(H117&gt;0,70,0)</f>
        <v>70</v>
      </c>
      <c r="W117" s="4">
        <f>O117-V117</f>
        <v>1568</v>
      </c>
      <c r="X117" s="6"/>
      <c r="Y117" s="6">
        <f>IF(H117&gt;0,30*F117,0)</f>
        <v>30</v>
      </c>
      <c r="Z117" s="6">
        <f>W117-Y117</f>
        <v>1538</v>
      </c>
    </row>
    <row r="118" spans="2:26" s="4" customFormat="1" ht="15.6">
      <c r="B118" s="121" t="s">
        <v>366</v>
      </c>
      <c r="C118" s="4" t="s">
        <v>365</v>
      </c>
      <c r="D118" s="97"/>
      <c r="E118" s="97">
        <f t="shared" si="65"/>
        <v>0</v>
      </c>
      <c r="F118" s="97">
        <f t="shared" si="66"/>
        <v>1</v>
      </c>
      <c r="G118" s="97" t="s">
        <v>364</v>
      </c>
      <c r="H118" s="97">
        <v>7</v>
      </c>
      <c r="I118" s="97"/>
      <c r="J118" s="57" t="s">
        <v>367</v>
      </c>
      <c r="K118" s="57" t="s">
        <v>118</v>
      </c>
      <c r="L118" s="7"/>
      <c r="M118" s="5"/>
      <c r="O118" s="51">
        <v>1179</v>
      </c>
      <c r="P118" s="6">
        <f t="shared" si="68"/>
        <v>472</v>
      </c>
      <c r="Q118" s="4">
        <f>IF(O118&gt;0,((O118+300)-P118),0)</f>
        <v>1007</v>
      </c>
      <c r="R118" s="56">
        <v>42150</v>
      </c>
      <c r="S118" s="3" t="s">
        <v>51</v>
      </c>
      <c r="T118" s="59" t="s">
        <v>149</v>
      </c>
      <c r="U118" s="6">
        <f>Q118+P118</f>
        <v>1479</v>
      </c>
      <c r="V118" s="6">
        <f>IF(H118&gt;0,70,0)</f>
        <v>70</v>
      </c>
      <c r="W118" s="4">
        <f>O118-V118</f>
        <v>1109</v>
      </c>
      <c r="X118" s="6"/>
      <c r="Y118" s="6">
        <f>IF(H118&gt;0,30*F118,0)</f>
        <v>30</v>
      </c>
      <c r="Z118" s="6">
        <f>W118-Y118</f>
        <v>1079</v>
      </c>
    </row>
    <row r="119" spans="2:26" s="4" customFormat="1" ht="15.6">
      <c r="B119" s="105" t="s">
        <v>314</v>
      </c>
      <c r="C119" s="4" t="s">
        <v>315</v>
      </c>
      <c r="D119" s="97" t="s">
        <v>214</v>
      </c>
      <c r="E119" s="97">
        <f t="shared" si="65"/>
        <v>0</v>
      </c>
      <c r="F119" s="97">
        <f t="shared" si="66"/>
        <v>1</v>
      </c>
      <c r="G119" s="97" t="s">
        <v>316</v>
      </c>
      <c r="H119" s="97">
        <v>10</v>
      </c>
      <c r="I119" s="97"/>
      <c r="J119" s="58" t="s">
        <v>216</v>
      </c>
      <c r="K119" s="57" t="s">
        <v>118</v>
      </c>
      <c r="L119" s="59"/>
      <c r="M119" s="60"/>
      <c r="N119" s="57"/>
      <c r="O119" s="51">
        <v>1809</v>
      </c>
      <c r="P119" s="6">
        <f t="shared" si="68"/>
        <v>724</v>
      </c>
      <c r="Q119" s="4">
        <f t="shared" si="67"/>
        <v>1385</v>
      </c>
      <c r="R119" s="56">
        <v>41804</v>
      </c>
      <c r="S119" s="3" t="s">
        <v>51</v>
      </c>
      <c r="T119" s="59" t="s">
        <v>21</v>
      </c>
      <c r="U119" s="6">
        <f t="shared" si="60"/>
        <v>2109</v>
      </c>
      <c r="V119" s="6">
        <f t="shared" si="61"/>
        <v>70</v>
      </c>
      <c r="W119" s="4">
        <f t="shared" si="62"/>
        <v>1739</v>
      </c>
      <c r="X119" s="6"/>
      <c r="Y119" s="6">
        <f t="shared" si="63"/>
        <v>30</v>
      </c>
      <c r="Z119" s="6">
        <f t="shared" si="64"/>
        <v>1709</v>
      </c>
    </row>
    <row r="120" spans="2:26" s="4" customFormat="1" ht="15.6">
      <c r="B120" s="105" t="s">
        <v>358</v>
      </c>
      <c r="C120" s="4" t="s">
        <v>357</v>
      </c>
      <c r="D120" s="97"/>
      <c r="E120" s="97">
        <f t="shared" si="65"/>
        <v>0</v>
      </c>
      <c r="F120" s="97">
        <f t="shared" si="66"/>
        <v>1</v>
      </c>
      <c r="G120" s="97" t="s">
        <v>356</v>
      </c>
      <c r="H120" s="97">
        <v>7</v>
      </c>
      <c r="I120" s="97"/>
      <c r="J120" s="58" t="s">
        <v>359</v>
      </c>
      <c r="K120" s="57" t="s">
        <v>118</v>
      </c>
      <c r="L120" s="7"/>
      <c r="M120" s="5"/>
      <c r="O120" s="51">
        <v>1294</v>
      </c>
      <c r="P120" s="6">
        <f t="shared" si="68"/>
        <v>518</v>
      </c>
      <c r="Q120" s="4">
        <f>IF(O120&gt;0,((O120+300)-P120),0)</f>
        <v>1076</v>
      </c>
      <c r="R120" s="56">
        <v>42169</v>
      </c>
      <c r="S120" s="3" t="s">
        <v>51</v>
      </c>
      <c r="T120" s="59" t="s">
        <v>421</v>
      </c>
      <c r="U120" s="6">
        <f>Q120+P120</f>
        <v>1594</v>
      </c>
      <c r="V120" s="6">
        <f>IF(H120&gt;0,70,0)</f>
        <v>70</v>
      </c>
      <c r="W120" s="4">
        <f>O120-V120</f>
        <v>1224</v>
      </c>
      <c r="X120" s="6"/>
      <c r="Y120" s="6">
        <f>IF(H120&gt;0,30*F120,0)</f>
        <v>30</v>
      </c>
      <c r="Z120" s="6">
        <f>W120-Y120</f>
        <v>1194</v>
      </c>
    </row>
    <row r="121" spans="2:26" s="4" customFormat="1" ht="15.6">
      <c r="B121" s="121" t="s">
        <v>382</v>
      </c>
      <c r="C121" s="4" t="s">
        <v>381</v>
      </c>
      <c r="D121" s="97" t="s">
        <v>59</v>
      </c>
      <c r="E121" s="97">
        <f t="shared" si="65"/>
        <v>0</v>
      </c>
      <c r="F121" s="97">
        <f t="shared" si="66"/>
        <v>1</v>
      </c>
      <c r="G121" s="97" t="s">
        <v>383</v>
      </c>
      <c r="H121" s="97">
        <v>7</v>
      </c>
      <c r="I121" s="97"/>
      <c r="J121" s="58" t="s">
        <v>384</v>
      </c>
      <c r="K121" s="57" t="s">
        <v>118</v>
      </c>
      <c r="L121" s="7"/>
      <c r="M121" s="5"/>
      <c r="O121" s="51">
        <v>1088</v>
      </c>
      <c r="P121" s="6">
        <f t="shared" si="68"/>
        <v>435</v>
      </c>
      <c r="Q121" s="4">
        <f t="shared" si="67"/>
        <v>953</v>
      </c>
      <c r="R121" s="56">
        <v>42176</v>
      </c>
      <c r="S121" s="3" t="s">
        <v>51</v>
      </c>
      <c r="T121" s="59" t="s">
        <v>422</v>
      </c>
      <c r="U121" s="6">
        <f t="shared" si="60"/>
        <v>1388</v>
      </c>
      <c r="V121" s="6">
        <f t="shared" si="61"/>
        <v>70</v>
      </c>
      <c r="W121" s="4">
        <f t="shared" si="62"/>
        <v>1018</v>
      </c>
      <c r="X121" s="6"/>
      <c r="Y121" s="6">
        <f t="shared" si="63"/>
        <v>30</v>
      </c>
      <c r="Z121" s="6">
        <f t="shared" si="64"/>
        <v>988</v>
      </c>
    </row>
    <row r="122" spans="2:26" s="4" customFormat="1" ht="15.6">
      <c r="B122" s="120" t="s">
        <v>327</v>
      </c>
      <c r="C122" s="4" t="s">
        <v>328</v>
      </c>
      <c r="D122" s="97" t="s">
        <v>386</v>
      </c>
      <c r="E122" s="97">
        <f t="shared" si="65"/>
        <v>0</v>
      </c>
      <c r="F122" s="97">
        <f t="shared" si="66"/>
        <v>1</v>
      </c>
      <c r="G122" s="97" t="s">
        <v>329</v>
      </c>
      <c r="H122" s="97">
        <v>14</v>
      </c>
      <c r="I122" s="97"/>
      <c r="J122" s="58" t="s">
        <v>330</v>
      </c>
      <c r="K122" s="57" t="s">
        <v>118</v>
      </c>
      <c r="L122" s="59"/>
      <c r="M122" s="60"/>
      <c r="N122" s="57"/>
      <c r="O122" s="51">
        <v>1812</v>
      </c>
      <c r="P122" s="61">
        <f t="shared" si="68"/>
        <v>725</v>
      </c>
      <c r="Q122" s="57">
        <f t="shared" si="67"/>
        <v>1387</v>
      </c>
      <c r="R122" s="56">
        <v>42197</v>
      </c>
      <c r="S122" s="3" t="s">
        <v>51</v>
      </c>
      <c r="T122" s="59" t="s">
        <v>426</v>
      </c>
      <c r="U122" s="6">
        <f t="shared" si="60"/>
        <v>2112</v>
      </c>
      <c r="V122" s="6">
        <f t="shared" si="61"/>
        <v>70</v>
      </c>
      <c r="W122" s="4">
        <f t="shared" si="62"/>
        <v>1742</v>
      </c>
      <c r="X122" s="6"/>
      <c r="Y122" s="6">
        <f t="shared" si="63"/>
        <v>30</v>
      </c>
      <c r="Z122" s="6">
        <f t="shared" si="64"/>
        <v>1712</v>
      </c>
    </row>
    <row r="123" spans="2:26" s="4" customFormat="1" ht="15.6">
      <c r="B123" s="122" t="s">
        <v>342</v>
      </c>
      <c r="C123" s="4" t="s">
        <v>343</v>
      </c>
      <c r="D123" s="97" t="s">
        <v>53</v>
      </c>
      <c r="E123" s="97">
        <f t="shared" si="65"/>
        <v>0</v>
      </c>
      <c r="F123" s="97">
        <f t="shared" si="66"/>
        <v>1</v>
      </c>
      <c r="G123" s="97" t="s">
        <v>347</v>
      </c>
      <c r="H123" s="97">
        <v>10</v>
      </c>
      <c r="I123" s="97"/>
      <c r="J123" s="58" t="s">
        <v>205</v>
      </c>
      <c r="K123" s="57" t="s">
        <v>118</v>
      </c>
      <c r="L123" s="7"/>
      <c r="M123" s="5"/>
      <c r="O123" s="51">
        <v>935</v>
      </c>
      <c r="P123" s="6">
        <f t="shared" si="68"/>
        <v>374</v>
      </c>
      <c r="Q123" s="4">
        <v>817</v>
      </c>
      <c r="R123" s="8">
        <v>42198</v>
      </c>
      <c r="S123" s="3" t="s">
        <v>51</v>
      </c>
      <c r="T123" s="65" t="s">
        <v>427</v>
      </c>
      <c r="U123" s="6">
        <f>Q123+P123</f>
        <v>1191</v>
      </c>
      <c r="V123" s="6">
        <f>IF(H123&gt;0,70,0)</f>
        <v>70</v>
      </c>
      <c r="W123" s="4">
        <f>O123-V123</f>
        <v>865</v>
      </c>
      <c r="X123" s="6"/>
      <c r="Y123" s="6">
        <f>IF(H123&gt;0,30*F123,0)</f>
        <v>30</v>
      </c>
      <c r="Z123" s="6">
        <f>W123-Y123</f>
        <v>835</v>
      </c>
    </row>
    <row r="124" spans="2:26" s="4" customFormat="1" ht="15.6">
      <c r="B124" s="121" t="s">
        <v>353</v>
      </c>
      <c r="C124" s="4" t="s">
        <v>345</v>
      </c>
      <c r="D124" s="97" t="s">
        <v>253</v>
      </c>
      <c r="E124" s="97">
        <f t="shared" si="65"/>
        <v>0</v>
      </c>
      <c r="F124" s="97">
        <f t="shared" si="66"/>
        <v>1</v>
      </c>
      <c r="G124" s="97" t="s">
        <v>346</v>
      </c>
      <c r="H124" s="97">
        <v>6</v>
      </c>
      <c r="I124" s="97"/>
      <c r="J124" s="58" t="s">
        <v>231</v>
      </c>
      <c r="K124" s="57" t="s">
        <v>118</v>
      </c>
      <c r="L124" s="7"/>
      <c r="M124" s="5"/>
      <c r="O124" s="51">
        <v>598</v>
      </c>
      <c r="P124" s="6">
        <f t="shared" si="68"/>
        <v>239</v>
      </c>
      <c r="Q124" s="57">
        <f>IF(O124&gt;0,((O124+300)-P124),0)</f>
        <v>659</v>
      </c>
      <c r="R124" s="8">
        <v>42211</v>
      </c>
      <c r="S124" s="3" t="s">
        <v>51</v>
      </c>
      <c r="T124" s="65" t="s">
        <v>435</v>
      </c>
      <c r="U124" s="6">
        <f>Q124+P124</f>
        <v>898</v>
      </c>
      <c r="V124" s="6">
        <f>IF(H124&gt;0,70,0)</f>
        <v>70</v>
      </c>
      <c r="W124" s="4">
        <f>O124-V124</f>
        <v>528</v>
      </c>
      <c r="X124" s="6"/>
      <c r="Y124" s="6">
        <f>IF(H124&gt;0,30*F124,0)</f>
        <v>30</v>
      </c>
      <c r="Z124" s="6">
        <f>W124-Y124</f>
        <v>498</v>
      </c>
    </row>
    <row r="125" spans="2:26" s="4" customFormat="1" ht="15.6">
      <c r="B125" s="120" t="s">
        <v>434</v>
      </c>
      <c r="C125" s="4" t="s">
        <v>248</v>
      </c>
      <c r="D125" s="58" t="s">
        <v>53</v>
      </c>
      <c r="E125" s="57">
        <f t="shared" ref="E125:E130" si="69">IF(D125=$B$11,H125,0)</f>
        <v>0</v>
      </c>
      <c r="F125" s="57">
        <f t="shared" ref="F125:F130" si="70">IF(E125&gt;0,0,1)</f>
        <v>1</v>
      </c>
      <c r="G125" s="106" t="s">
        <v>324</v>
      </c>
      <c r="H125" s="58">
        <v>8</v>
      </c>
      <c r="I125" s="58"/>
      <c r="J125" s="58" t="s">
        <v>249</v>
      </c>
      <c r="K125" s="57" t="s">
        <v>118</v>
      </c>
      <c r="L125" s="59"/>
      <c r="M125" s="60"/>
      <c r="N125" s="57"/>
      <c r="O125" s="51">
        <v>645</v>
      </c>
      <c r="P125" s="6">
        <v>300</v>
      </c>
      <c r="Q125" s="4">
        <f t="shared" ref="Q125:Q130" si="71">IF(O125&gt;0,((O125+300)-P125),0)</f>
        <v>645</v>
      </c>
      <c r="R125" s="56">
        <v>41880</v>
      </c>
      <c r="S125" s="3" t="s">
        <v>51</v>
      </c>
      <c r="T125" s="59" t="s">
        <v>331</v>
      </c>
      <c r="U125" s="6">
        <f t="shared" ref="U125:U130" si="72">Q125+P125</f>
        <v>945</v>
      </c>
      <c r="V125" s="6">
        <f t="shared" si="61"/>
        <v>70</v>
      </c>
      <c r="W125" s="4">
        <f t="shared" ref="W125:W130" si="73">O125-V125</f>
        <v>575</v>
      </c>
      <c r="X125" s="6"/>
      <c r="Y125" s="6">
        <f t="shared" si="63"/>
        <v>30</v>
      </c>
      <c r="Z125" s="6">
        <f t="shared" ref="Z125:Z130" si="74">W125-Y125</f>
        <v>545</v>
      </c>
    </row>
    <row r="126" spans="2:26" s="4" customFormat="1" ht="15.6">
      <c r="B126" s="105" t="s">
        <v>416</v>
      </c>
      <c r="C126" s="4" t="s">
        <v>417</v>
      </c>
      <c r="D126" s="97"/>
      <c r="E126" s="97"/>
      <c r="F126" s="97"/>
      <c r="G126" s="97" t="s">
        <v>415</v>
      </c>
      <c r="H126" s="97">
        <v>7</v>
      </c>
      <c r="I126" s="97"/>
      <c r="J126" s="58" t="s">
        <v>249</v>
      </c>
      <c r="K126" s="57" t="s">
        <v>118</v>
      </c>
      <c r="L126" s="7"/>
      <c r="M126" s="5"/>
      <c r="O126" s="51">
        <v>634</v>
      </c>
      <c r="P126" s="6">
        <f>ROUND((O126*1),0)</f>
        <v>634</v>
      </c>
      <c r="Q126" s="4">
        <f t="shared" si="71"/>
        <v>300</v>
      </c>
      <c r="R126" s="128" t="s">
        <v>50</v>
      </c>
      <c r="S126" s="3" t="s">
        <v>51</v>
      </c>
      <c r="T126" s="59" t="s">
        <v>436</v>
      </c>
      <c r="U126" s="6">
        <f t="shared" si="72"/>
        <v>934</v>
      </c>
      <c r="V126" s="6">
        <f t="shared" si="61"/>
        <v>70</v>
      </c>
      <c r="W126" s="4">
        <f t="shared" si="73"/>
        <v>564</v>
      </c>
      <c r="X126" s="6"/>
      <c r="Y126" s="6">
        <f t="shared" si="63"/>
        <v>0</v>
      </c>
      <c r="Z126" s="6">
        <f t="shared" si="74"/>
        <v>564</v>
      </c>
    </row>
    <row r="127" spans="2:26" s="4" customFormat="1" ht="15.6">
      <c r="B127" s="121" t="s">
        <v>401</v>
      </c>
      <c r="C127" s="4" t="s">
        <v>400</v>
      </c>
      <c r="D127" s="97"/>
      <c r="E127" s="97">
        <f t="shared" si="69"/>
        <v>0</v>
      </c>
      <c r="F127" s="97">
        <f t="shared" si="70"/>
        <v>1</v>
      </c>
      <c r="G127" s="97" t="s">
        <v>410</v>
      </c>
      <c r="H127" s="97">
        <v>8</v>
      </c>
      <c r="I127" s="97"/>
      <c r="J127" s="58" t="s">
        <v>205</v>
      </c>
      <c r="K127" s="57" t="s">
        <v>118</v>
      </c>
      <c r="L127" s="7"/>
      <c r="M127" s="5"/>
      <c r="O127" s="51">
        <v>523</v>
      </c>
      <c r="P127" s="6">
        <f>ROUND((O127*0.4),0)</f>
        <v>209</v>
      </c>
      <c r="Q127" s="4">
        <f t="shared" si="71"/>
        <v>614</v>
      </c>
      <c r="R127" s="56">
        <v>42247</v>
      </c>
      <c r="S127" s="3" t="s">
        <v>51</v>
      </c>
      <c r="T127" s="59" t="s">
        <v>21</v>
      </c>
      <c r="U127" s="6">
        <f t="shared" si="72"/>
        <v>823</v>
      </c>
      <c r="V127" s="6">
        <f t="shared" si="61"/>
        <v>70</v>
      </c>
      <c r="W127" s="4">
        <f t="shared" si="73"/>
        <v>453</v>
      </c>
      <c r="X127" s="6"/>
      <c r="Y127" s="6">
        <f t="shared" si="63"/>
        <v>30</v>
      </c>
      <c r="Z127" s="6">
        <f t="shared" si="74"/>
        <v>423</v>
      </c>
    </row>
    <row r="128" spans="2:26" s="4" customFormat="1" ht="15.6">
      <c r="B128" s="127" t="s">
        <v>399</v>
      </c>
      <c r="C128" s="4" t="s">
        <v>397</v>
      </c>
      <c r="D128" s="97" t="s">
        <v>53</v>
      </c>
      <c r="E128" s="97">
        <f t="shared" si="69"/>
        <v>0</v>
      </c>
      <c r="F128" s="97">
        <f t="shared" si="70"/>
        <v>1</v>
      </c>
      <c r="G128" s="97" t="s">
        <v>398</v>
      </c>
      <c r="H128" s="97">
        <v>7</v>
      </c>
      <c r="I128" s="97"/>
      <c r="J128" s="58" t="s">
        <v>216</v>
      </c>
      <c r="K128" s="57" t="s">
        <v>118</v>
      </c>
      <c r="L128" s="7"/>
      <c r="M128" s="5"/>
      <c r="O128" s="51">
        <v>454</v>
      </c>
      <c r="P128" s="6">
        <f>ROUND((O128*0.4),0)</f>
        <v>182</v>
      </c>
      <c r="Q128" s="4">
        <f t="shared" si="71"/>
        <v>572</v>
      </c>
      <c r="R128" s="56">
        <v>42259</v>
      </c>
      <c r="S128" s="3" t="s">
        <v>51</v>
      </c>
      <c r="T128" s="65" t="s">
        <v>445</v>
      </c>
      <c r="U128" s="6">
        <f t="shared" si="72"/>
        <v>754</v>
      </c>
      <c r="V128" s="6">
        <f t="shared" si="61"/>
        <v>70</v>
      </c>
      <c r="W128" s="4">
        <f t="shared" si="73"/>
        <v>384</v>
      </c>
      <c r="X128" s="6"/>
      <c r="Y128" s="6">
        <f t="shared" si="63"/>
        <v>30</v>
      </c>
      <c r="Z128" s="6">
        <f t="shared" si="74"/>
        <v>354</v>
      </c>
    </row>
    <row r="129" spans="1:26" s="4" customFormat="1" ht="15.6">
      <c r="B129" s="99" t="s">
        <v>437</v>
      </c>
      <c r="C129" s="4" t="s">
        <v>438</v>
      </c>
      <c r="D129" s="97" t="s">
        <v>214</v>
      </c>
      <c r="E129" s="97">
        <f>IF(D129=$B$11,H129,0)</f>
        <v>0</v>
      </c>
      <c r="F129" s="97">
        <f>IF(E129&gt;0,0,1)</f>
        <v>1</v>
      </c>
      <c r="G129" s="97" t="s">
        <v>439</v>
      </c>
      <c r="H129" s="97">
        <v>5</v>
      </c>
      <c r="I129" s="97"/>
      <c r="J129" s="58" t="s">
        <v>216</v>
      </c>
      <c r="K129" s="57" t="s">
        <v>118</v>
      </c>
      <c r="L129" s="7"/>
      <c r="M129" s="5"/>
      <c r="O129" s="51">
        <v>327</v>
      </c>
      <c r="P129" s="6">
        <f>ROUND((O129*0.4),0)</f>
        <v>131</v>
      </c>
      <c r="Q129" s="4">
        <f>IF(O129&gt;0,((O129+300)-P129),0)</f>
        <v>496</v>
      </c>
      <c r="R129" s="56">
        <v>42259</v>
      </c>
      <c r="S129" s="3" t="s">
        <v>51</v>
      </c>
      <c r="T129" s="65" t="s">
        <v>149</v>
      </c>
      <c r="U129" s="6">
        <f>Q129+P129</f>
        <v>627</v>
      </c>
      <c r="V129" s="6">
        <f>IF(H129&gt;0,70,0)</f>
        <v>70</v>
      </c>
      <c r="W129" s="4">
        <f>O129-V129</f>
        <v>257</v>
      </c>
      <c r="X129" s="6"/>
      <c r="Y129" s="6">
        <f>IF(H129&gt;0,30*F129,0)</f>
        <v>30</v>
      </c>
      <c r="Z129" s="6">
        <f>W129-Y129</f>
        <v>227</v>
      </c>
    </row>
    <row r="130" spans="1:26" s="4" customFormat="1">
      <c r="B130" s="98" t="s">
        <v>393</v>
      </c>
      <c r="C130" s="52"/>
      <c r="D130" s="58"/>
      <c r="E130" s="4">
        <f t="shared" si="69"/>
        <v>0</v>
      </c>
      <c r="F130" s="4">
        <f t="shared" si="70"/>
        <v>1</v>
      </c>
      <c r="G130" s="58"/>
      <c r="H130" s="15"/>
      <c r="I130" s="15"/>
      <c r="J130" s="58"/>
      <c r="K130" s="57"/>
      <c r="L130" s="7"/>
      <c r="M130" s="5"/>
      <c r="O130" s="51">
        <v>0</v>
      </c>
      <c r="P130" s="6">
        <f>ROUND((O130*0.4),0)</f>
        <v>0</v>
      </c>
      <c r="Q130" s="4">
        <f t="shared" si="71"/>
        <v>0</v>
      </c>
      <c r="R130" s="8"/>
      <c r="S130" s="3"/>
      <c r="T130" s="59"/>
      <c r="U130" s="6">
        <f t="shared" si="72"/>
        <v>0</v>
      </c>
      <c r="V130" s="6">
        <f t="shared" si="61"/>
        <v>0</v>
      </c>
      <c r="W130" s="4">
        <f t="shared" si="73"/>
        <v>0</v>
      </c>
      <c r="X130" s="6"/>
      <c r="Y130" s="6">
        <f t="shared" si="63"/>
        <v>0</v>
      </c>
      <c r="Z130" s="6">
        <f t="shared" si="74"/>
        <v>0</v>
      </c>
    </row>
    <row r="131" spans="1:26" s="4" customFormat="1">
      <c r="A131" s="43"/>
      <c r="B131" s="44"/>
      <c r="C131" s="45"/>
      <c r="D131" s="44"/>
      <c r="E131" s="44"/>
      <c r="F131" s="44"/>
      <c r="G131" s="44"/>
      <c r="H131" s="44"/>
      <c r="I131" s="44"/>
      <c r="J131" s="44"/>
      <c r="K131" s="43"/>
      <c r="L131" s="46"/>
      <c r="M131" s="47"/>
      <c r="N131" s="43"/>
      <c r="O131" s="48">
        <f>SUM(O103:O130)</f>
        <v>20623</v>
      </c>
      <c r="P131" s="49"/>
      <c r="Q131" s="43"/>
      <c r="R131" s="50"/>
      <c r="S131" s="48"/>
      <c r="T131" s="46"/>
      <c r="U131" s="49"/>
      <c r="V131" s="49"/>
      <c r="W131" s="43"/>
      <c r="X131" s="49"/>
      <c r="Y131" s="49"/>
      <c r="Z131" s="48">
        <f>SUM(Z102:Z130)</f>
        <v>18383</v>
      </c>
    </row>
    <row r="132" spans="1:26" s="4" customFormat="1" ht="23.4">
      <c r="A132" s="76"/>
      <c r="B132" s="83">
        <v>2016</v>
      </c>
      <c r="C132" s="78"/>
      <c r="D132" s="77"/>
      <c r="E132" s="77"/>
      <c r="F132" s="77"/>
      <c r="G132" s="77"/>
      <c r="H132" s="81" t="s">
        <v>368</v>
      </c>
      <c r="I132" s="77"/>
      <c r="J132" s="77"/>
      <c r="K132" s="76"/>
      <c r="L132" s="79"/>
      <c r="M132" s="80"/>
      <c r="N132" s="76"/>
      <c r="O132" s="82" t="s">
        <v>17</v>
      </c>
      <c r="P132" s="82" t="s">
        <v>18</v>
      </c>
      <c r="Q132" s="82" t="s">
        <v>19</v>
      </c>
      <c r="R132" s="82" t="s">
        <v>20</v>
      </c>
      <c r="S132" s="82" t="s">
        <v>39</v>
      </c>
      <c r="T132" s="79" t="s">
        <v>21</v>
      </c>
      <c r="U132" s="82" t="s">
        <v>7</v>
      </c>
      <c r="V132" s="82"/>
      <c r="W132" s="76"/>
      <c r="X132" s="82"/>
      <c r="Y132" s="82"/>
      <c r="Z132" s="81"/>
    </row>
    <row r="133" spans="1:26" s="4" customFormat="1">
      <c r="B133" s="129" t="s">
        <v>443</v>
      </c>
      <c r="C133" s="4" t="s">
        <v>441</v>
      </c>
      <c r="D133" s="57" t="s">
        <v>253</v>
      </c>
      <c r="E133" s="57">
        <f>IF(D133=$B$11,H133,0)</f>
        <v>0</v>
      </c>
      <c r="F133" s="57">
        <f>IF(E133&gt;0,0,1)</f>
        <v>1</v>
      </c>
      <c r="G133" s="57" t="s">
        <v>442</v>
      </c>
      <c r="H133" s="58">
        <v>13</v>
      </c>
      <c r="I133" s="58"/>
      <c r="J133" s="57" t="s">
        <v>216</v>
      </c>
      <c r="K133" s="57" t="s">
        <v>118</v>
      </c>
      <c r="L133" s="7"/>
      <c r="M133" s="5"/>
      <c r="O133" s="51">
        <v>720</v>
      </c>
      <c r="P133" s="6">
        <v>1020</v>
      </c>
      <c r="Q133" s="4">
        <f>IF(O133&gt;0,((O133+300)-P133),0)</f>
        <v>0</v>
      </c>
      <c r="R133" s="8"/>
      <c r="S133" s="3" t="s">
        <v>51</v>
      </c>
      <c r="T133" s="59" t="s">
        <v>459</v>
      </c>
      <c r="U133" s="6">
        <f t="shared" ref="U133:U139" si="75">Q133+P133</f>
        <v>1020</v>
      </c>
      <c r="V133" s="6">
        <f t="shared" ref="V133:V160" si="76">IF(H133&gt;0,70,0)</f>
        <v>70</v>
      </c>
      <c r="W133" s="4">
        <f t="shared" ref="W133:W160" si="77">O133-V133</f>
        <v>650</v>
      </c>
      <c r="X133" s="6"/>
      <c r="Y133" s="6">
        <f t="shared" ref="Y133:Y160" si="78">IF(H133&gt;0,30*F133,0)</f>
        <v>30</v>
      </c>
      <c r="Z133" s="6">
        <f t="shared" ref="Z133:Z160" si="79">W133-Y133</f>
        <v>620</v>
      </c>
    </row>
    <row r="134" spans="1:26" s="4" customFormat="1" ht="15.6">
      <c r="B134" s="122" t="s">
        <v>444</v>
      </c>
      <c r="C134" s="4" t="s">
        <v>411</v>
      </c>
      <c r="D134" s="57"/>
      <c r="E134" s="58"/>
      <c r="F134" s="58"/>
      <c r="G134" s="57" t="s">
        <v>428</v>
      </c>
      <c r="H134" s="58">
        <v>28</v>
      </c>
      <c r="I134" s="58"/>
      <c r="J134" s="57" t="s">
        <v>231</v>
      </c>
      <c r="K134" s="57" t="s">
        <v>118</v>
      </c>
      <c r="L134" s="87"/>
      <c r="M134" s="97"/>
      <c r="N134" s="58"/>
      <c r="O134" s="51">
        <v>1460</v>
      </c>
      <c r="P134" s="6">
        <v>572</v>
      </c>
      <c r="Q134" s="4">
        <v>1230</v>
      </c>
      <c r="R134" s="96">
        <v>42345</v>
      </c>
      <c r="S134" s="3" t="s">
        <v>51</v>
      </c>
      <c r="T134" s="59" t="s">
        <v>466</v>
      </c>
      <c r="U134" s="16">
        <f t="shared" si="75"/>
        <v>1802</v>
      </c>
      <c r="V134" s="16">
        <f t="shared" si="76"/>
        <v>70</v>
      </c>
      <c r="W134" s="15">
        <f t="shared" si="77"/>
        <v>1390</v>
      </c>
      <c r="X134" s="16"/>
      <c r="Y134" s="16">
        <f t="shared" si="78"/>
        <v>0</v>
      </c>
      <c r="Z134" s="16">
        <f t="shared" si="79"/>
        <v>1390</v>
      </c>
    </row>
    <row r="135" spans="1:26" s="4" customFormat="1" ht="15.6">
      <c r="B135" s="123"/>
      <c r="D135" s="97"/>
      <c r="E135" s="97">
        <f t="shared" ref="E135:E160" si="80">IF(D135=$B$11,H135,0)</f>
        <v>0</v>
      </c>
      <c r="F135" s="97">
        <f t="shared" ref="F135:F160" si="81">IF(E135&gt;0,0,1)</f>
        <v>1</v>
      </c>
      <c r="G135" s="97"/>
      <c r="H135" s="97"/>
      <c r="I135" s="97"/>
      <c r="J135" s="57"/>
      <c r="K135" s="57" t="s">
        <v>118</v>
      </c>
      <c r="L135" s="7"/>
      <c r="M135" s="5"/>
      <c r="O135" s="51">
        <v>0</v>
      </c>
      <c r="P135" s="6">
        <f t="shared" ref="P135:P160" si="82">ROUND((O135*0.4),0)</f>
        <v>0</v>
      </c>
      <c r="Q135" s="4">
        <v>0</v>
      </c>
      <c r="R135" s="8"/>
      <c r="S135" s="3" t="s">
        <v>51</v>
      </c>
      <c r="T135" s="59"/>
      <c r="U135" s="6">
        <f t="shared" si="75"/>
        <v>0</v>
      </c>
      <c r="V135" s="6">
        <f t="shared" si="76"/>
        <v>0</v>
      </c>
      <c r="W135" s="4">
        <f t="shared" si="77"/>
        <v>0</v>
      </c>
      <c r="X135" s="6"/>
      <c r="Y135" s="6">
        <f t="shared" si="78"/>
        <v>0</v>
      </c>
      <c r="Z135" s="6">
        <f t="shared" si="79"/>
        <v>0</v>
      </c>
    </row>
    <row r="136" spans="1:26" s="4" customFormat="1">
      <c r="B136" s="97" t="s">
        <v>396</v>
      </c>
      <c r="C136" s="57" t="s">
        <v>465</v>
      </c>
      <c r="D136" s="97" t="s">
        <v>253</v>
      </c>
      <c r="E136" s="97">
        <f t="shared" si="80"/>
        <v>0</v>
      </c>
      <c r="F136" s="97">
        <f t="shared" si="81"/>
        <v>1</v>
      </c>
      <c r="G136" s="97" t="s">
        <v>395</v>
      </c>
      <c r="H136" s="97">
        <v>30</v>
      </c>
      <c r="I136" s="97"/>
      <c r="J136" s="57" t="s">
        <v>216</v>
      </c>
      <c r="K136" s="57" t="s">
        <v>118</v>
      </c>
      <c r="L136" s="7"/>
      <c r="M136" s="5"/>
      <c r="O136" s="51">
        <v>1580</v>
      </c>
      <c r="P136" s="6">
        <f t="shared" si="82"/>
        <v>632</v>
      </c>
      <c r="Q136" s="4">
        <f t="shared" ref="Q136:Q156" si="83">IF(O136&gt;0,((O136+300)-P136),0)</f>
        <v>1248</v>
      </c>
      <c r="R136" s="56">
        <v>42009</v>
      </c>
      <c r="S136" s="3" t="s">
        <v>51</v>
      </c>
      <c r="T136" s="59" t="s">
        <v>21</v>
      </c>
      <c r="U136" s="6">
        <f t="shared" si="75"/>
        <v>1880</v>
      </c>
      <c r="V136" s="6">
        <f t="shared" si="76"/>
        <v>70</v>
      </c>
      <c r="W136" s="4">
        <f t="shared" si="77"/>
        <v>1510</v>
      </c>
      <c r="X136" s="6"/>
      <c r="Y136" s="6">
        <f t="shared" si="78"/>
        <v>30</v>
      </c>
      <c r="Z136" s="6">
        <f t="shared" si="79"/>
        <v>1480</v>
      </c>
    </row>
    <row r="137" spans="1:26" s="4" customFormat="1">
      <c r="B137" s="57"/>
      <c r="C137" s="116"/>
      <c r="D137" s="97"/>
      <c r="E137" s="97"/>
      <c r="F137" s="97"/>
      <c r="G137" s="97"/>
      <c r="H137" s="97"/>
      <c r="I137" s="97"/>
      <c r="J137" s="57"/>
      <c r="K137" s="57" t="s">
        <v>118</v>
      </c>
      <c r="L137" s="7"/>
      <c r="M137" s="5"/>
      <c r="O137" s="51">
        <v>590</v>
      </c>
      <c r="P137" s="6">
        <f>ROUND((O137*0.4),0)</f>
        <v>236</v>
      </c>
      <c r="Q137" s="4">
        <f>IF(O137&gt;0,((O137+300)-P137),0)</f>
        <v>654</v>
      </c>
      <c r="R137" s="56"/>
      <c r="S137" s="3" t="s">
        <v>51</v>
      </c>
      <c r="T137" s="59"/>
      <c r="U137" s="6">
        <f>Q137+P137</f>
        <v>890</v>
      </c>
      <c r="V137" s="6">
        <f>IF(H137&gt;0,70,0)</f>
        <v>0</v>
      </c>
      <c r="W137" s="4">
        <f>O137-V137</f>
        <v>590</v>
      </c>
      <c r="X137" s="6"/>
      <c r="Y137" s="6">
        <f>IF(H137&gt;0,30*F137,0)</f>
        <v>0</v>
      </c>
      <c r="Z137" s="6">
        <f>W137-Y137</f>
        <v>590</v>
      </c>
    </row>
    <row r="138" spans="1:26" s="4" customFormat="1">
      <c r="B138" s="57" t="s">
        <v>431</v>
      </c>
      <c r="C138" s="4" t="s">
        <v>430</v>
      </c>
      <c r="D138" s="97" t="s">
        <v>214</v>
      </c>
      <c r="E138" s="97">
        <f t="shared" si="80"/>
        <v>0</v>
      </c>
      <c r="F138" s="97">
        <f t="shared" si="81"/>
        <v>1</v>
      </c>
      <c r="G138" s="97" t="s">
        <v>429</v>
      </c>
      <c r="H138" s="97">
        <v>7</v>
      </c>
      <c r="I138" s="97"/>
      <c r="J138" s="57" t="s">
        <v>205</v>
      </c>
      <c r="K138" s="57" t="s">
        <v>118</v>
      </c>
      <c r="L138" s="7"/>
      <c r="M138" s="5"/>
      <c r="O138" s="51">
        <v>597</v>
      </c>
      <c r="P138" s="6">
        <f t="shared" si="82"/>
        <v>239</v>
      </c>
      <c r="Q138" s="4">
        <f t="shared" si="83"/>
        <v>658</v>
      </c>
      <c r="R138" s="56">
        <v>42052</v>
      </c>
      <c r="S138" s="3" t="s">
        <v>51</v>
      </c>
      <c r="T138" s="59" t="s">
        <v>469</v>
      </c>
      <c r="U138" s="6">
        <f t="shared" si="75"/>
        <v>897</v>
      </c>
      <c r="V138" s="6">
        <f t="shared" si="76"/>
        <v>70</v>
      </c>
      <c r="W138" s="4">
        <f t="shared" si="77"/>
        <v>527</v>
      </c>
      <c r="X138" s="6"/>
      <c r="Y138" s="6">
        <f t="shared" si="78"/>
        <v>30</v>
      </c>
      <c r="Z138" s="6">
        <f t="shared" si="79"/>
        <v>497</v>
      </c>
    </row>
    <row r="139" spans="1:26" s="4" customFormat="1" ht="15.6">
      <c r="B139" s="105"/>
      <c r="D139" s="97"/>
      <c r="E139" s="97">
        <f t="shared" si="80"/>
        <v>0</v>
      </c>
      <c r="F139" s="97">
        <f t="shared" si="81"/>
        <v>1</v>
      </c>
      <c r="G139" s="97"/>
      <c r="H139" s="97"/>
      <c r="I139" s="97"/>
      <c r="J139" s="57"/>
      <c r="K139" s="57" t="s">
        <v>118</v>
      </c>
      <c r="L139" s="7"/>
      <c r="M139" s="5"/>
      <c r="O139" s="51">
        <v>0</v>
      </c>
      <c r="P139" s="6">
        <f t="shared" si="82"/>
        <v>0</v>
      </c>
      <c r="Q139" s="4">
        <f t="shared" si="83"/>
        <v>0</v>
      </c>
      <c r="R139" s="56"/>
      <c r="S139" s="3" t="s">
        <v>51</v>
      </c>
      <c r="T139" s="59"/>
      <c r="U139" s="6">
        <f t="shared" si="75"/>
        <v>0</v>
      </c>
      <c r="V139" s="6">
        <f t="shared" si="76"/>
        <v>0</v>
      </c>
      <c r="W139" s="4">
        <f t="shared" si="77"/>
        <v>0</v>
      </c>
      <c r="X139" s="6"/>
      <c r="Y139" s="6">
        <f t="shared" si="78"/>
        <v>0</v>
      </c>
      <c r="Z139" s="6">
        <f t="shared" si="79"/>
        <v>0</v>
      </c>
    </row>
    <row r="140" spans="1:26" s="4" customFormat="1">
      <c r="B140" s="124" t="s">
        <v>391</v>
      </c>
      <c r="C140" s="4" t="s">
        <v>392</v>
      </c>
      <c r="D140" s="97" t="s">
        <v>48</v>
      </c>
      <c r="E140" s="97">
        <f t="shared" si="80"/>
        <v>0</v>
      </c>
      <c r="F140" s="97">
        <f t="shared" si="81"/>
        <v>1</v>
      </c>
      <c r="G140" s="97" t="s">
        <v>390</v>
      </c>
      <c r="H140" s="97">
        <v>10</v>
      </c>
      <c r="I140" s="97"/>
      <c r="J140" s="57" t="s">
        <v>231</v>
      </c>
      <c r="K140" s="57" t="s">
        <v>118</v>
      </c>
      <c r="L140" s="7"/>
      <c r="M140" s="5"/>
      <c r="O140" s="51">
        <v>934</v>
      </c>
      <c r="P140" s="6">
        <f t="shared" si="82"/>
        <v>374</v>
      </c>
      <c r="Q140" s="57">
        <f t="shared" si="83"/>
        <v>860</v>
      </c>
      <c r="R140" s="56">
        <v>42071</v>
      </c>
      <c r="S140" s="64" t="s">
        <v>51</v>
      </c>
      <c r="T140" s="59" t="s">
        <v>471</v>
      </c>
      <c r="U140" s="6">
        <f>Q140+P140</f>
        <v>1234</v>
      </c>
      <c r="V140" s="6">
        <f t="shared" si="76"/>
        <v>70</v>
      </c>
      <c r="W140" s="4">
        <f t="shared" si="77"/>
        <v>864</v>
      </c>
      <c r="X140" s="6"/>
      <c r="Y140" s="6">
        <f t="shared" si="78"/>
        <v>30</v>
      </c>
      <c r="Z140" s="6">
        <f t="shared" si="79"/>
        <v>834</v>
      </c>
    </row>
    <row r="141" spans="1:26" s="4" customFormat="1" ht="15" customHeight="1">
      <c r="B141" s="132" t="s">
        <v>452</v>
      </c>
      <c r="C141" s="4" t="s">
        <v>453</v>
      </c>
      <c r="D141" s="97" t="s">
        <v>53</v>
      </c>
      <c r="E141" s="130">
        <f t="shared" si="80"/>
        <v>0</v>
      </c>
      <c r="F141" s="130">
        <f t="shared" si="81"/>
        <v>1</v>
      </c>
      <c r="G141" s="97" t="s">
        <v>454</v>
      </c>
      <c r="H141" s="97">
        <v>14</v>
      </c>
      <c r="I141" s="97"/>
      <c r="J141" s="57" t="s">
        <v>455</v>
      </c>
      <c r="K141" s="57" t="s">
        <v>118</v>
      </c>
      <c r="L141" s="7"/>
      <c r="M141" s="5"/>
      <c r="O141" s="51">
        <v>1271</v>
      </c>
      <c r="P141" s="6">
        <f t="shared" si="82"/>
        <v>508</v>
      </c>
      <c r="Q141" s="4">
        <f t="shared" si="83"/>
        <v>1063</v>
      </c>
      <c r="R141" s="56">
        <v>42448</v>
      </c>
      <c r="S141" s="3" t="s">
        <v>51</v>
      </c>
      <c r="T141" s="59" t="s">
        <v>21</v>
      </c>
      <c r="U141" s="6">
        <f t="shared" ref="U141:U160" si="84">Q141+P141</f>
        <v>1571</v>
      </c>
      <c r="V141" s="6">
        <f t="shared" si="76"/>
        <v>70</v>
      </c>
      <c r="W141" s="4">
        <f t="shared" si="77"/>
        <v>1201</v>
      </c>
      <c r="X141" s="6"/>
      <c r="Y141" s="6">
        <f t="shared" si="78"/>
        <v>30</v>
      </c>
      <c r="Z141" s="6">
        <f t="shared" si="79"/>
        <v>1171</v>
      </c>
    </row>
    <row r="142" spans="1:26" s="4" customFormat="1">
      <c r="B142" s="57" t="s">
        <v>446</v>
      </c>
      <c r="C142" s="4" t="s">
        <v>447</v>
      </c>
      <c r="D142" s="97" t="s">
        <v>59</v>
      </c>
      <c r="E142" s="97">
        <f t="shared" si="80"/>
        <v>0</v>
      </c>
      <c r="F142" s="97">
        <f t="shared" si="81"/>
        <v>1</v>
      </c>
      <c r="G142" s="97" t="s">
        <v>448</v>
      </c>
      <c r="H142" s="97">
        <v>9</v>
      </c>
      <c r="I142" s="97"/>
      <c r="J142" s="57" t="s">
        <v>270</v>
      </c>
      <c r="K142" s="57" t="s">
        <v>118</v>
      </c>
      <c r="L142" s="7"/>
      <c r="M142" s="5"/>
      <c r="O142" s="51">
        <v>1089</v>
      </c>
      <c r="P142" s="6">
        <f t="shared" si="82"/>
        <v>436</v>
      </c>
      <c r="Q142" s="4">
        <f t="shared" si="83"/>
        <v>953</v>
      </c>
      <c r="R142" s="56">
        <v>42098</v>
      </c>
      <c r="S142" s="3" t="s">
        <v>51</v>
      </c>
      <c r="T142" s="59" t="s">
        <v>21</v>
      </c>
      <c r="U142" s="6">
        <f t="shared" si="84"/>
        <v>1389</v>
      </c>
      <c r="V142" s="6">
        <f t="shared" si="76"/>
        <v>70</v>
      </c>
      <c r="W142" s="4">
        <f t="shared" si="77"/>
        <v>1019</v>
      </c>
      <c r="X142" s="6"/>
      <c r="Y142" s="6">
        <f t="shared" si="78"/>
        <v>30</v>
      </c>
      <c r="Z142" s="6">
        <f t="shared" si="79"/>
        <v>989</v>
      </c>
    </row>
    <row r="143" spans="1:26" s="4" customFormat="1">
      <c r="A143" s="57"/>
      <c r="B143" s="58"/>
      <c r="C143" s="126"/>
      <c r="D143" s="97"/>
      <c r="E143" s="125"/>
      <c r="F143" s="125"/>
      <c r="G143" s="97"/>
      <c r="H143" s="97"/>
      <c r="I143" s="97"/>
      <c r="J143" s="57"/>
      <c r="K143" s="57" t="s">
        <v>118</v>
      </c>
      <c r="L143" s="7"/>
      <c r="M143" s="5"/>
      <c r="O143" s="51">
        <v>0</v>
      </c>
      <c r="P143" s="6">
        <f t="shared" si="82"/>
        <v>0</v>
      </c>
      <c r="Q143" s="4">
        <f t="shared" si="83"/>
        <v>0</v>
      </c>
      <c r="R143" s="8"/>
      <c r="S143" s="3" t="s">
        <v>51</v>
      </c>
      <c r="T143" s="59"/>
      <c r="U143" s="6">
        <f t="shared" si="84"/>
        <v>0</v>
      </c>
      <c r="V143" s="6">
        <f t="shared" si="76"/>
        <v>0</v>
      </c>
      <c r="W143" s="4">
        <f t="shared" si="77"/>
        <v>0</v>
      </c>
      <c r="X143" s="6"/>
      <c r="Y143" s="6">
        <f t="shared" si="78"/>
        <v>0</v>
      </c>
      <c r="Z143" s="6">
        <f t="shared" si="79"/>
        <v>0</v>
      </c>
    </row>
    <row r="144" spans="1:26" s="4" customFormat="1">
      <c r="B144" s="133" t="s">
        <v>457</v>
      </c>
      <c r="C144" s="4" t="s">
        <v>458</v>
      </c>
      <c r="D144" s="97" t="s">
        <v>59</v>
      </c>
      <c r="E144" s="97">
        <f t="shared" si="80"/>
        <v>0</v>
      </c>
      <c r="F144" s="97">
        <f t="shared" si="81"/>
        <v>1</v>
      </c>
      <c r="G144" s="97" t="s">
        <v>456</v>
      </c>
      <c r="H144" s="97">
        <v>7</v>
      </c>
      <c r="I144" s="97"/>
      <c r="J144" s="57" t="s">
        <v>205</v>
      </c>
      <c r="K144" s="57" t="s">
        <v>118</v>
      </c>
      <c r="L144" s="7"/>
      <c r="M144" s="5"/>
      <c r="O144" s="51">
        <v>731</v>
      </c>
      <c r="P144" s="6">
        <f t="shared" si="82"/>
        <v>292</v>
      </c>
      <c r="Q144" s="4">
        <f t="shared" si="83"/>
        <v>739</v>
      </c>
      <c r="R144" s="56">
        <v>42483</v>
      </c>
      <c r="S144" s="3" t="s">
        <v>51</v>
      </c>
      <c r="T144" s="59" t="s">
        <v>476</v>
      </c>
      <c r="U144" s="6">
        <f t="shared" si="84"/>
        <v>1031</v>
      </c>
      <c r="V144" s="6">
        <f t="shared" si="76"/>
        <v>70</v>
      </c>
      <c r="W144" s="4">
        <f t="shared" si="77"/>
        <v>661</v>
      </c>
      <c r="X144" s="6"/>
      <c r="Y144" s="6">
        <f t="shared" si="78"/>
        <v>30</v>
      </c>
      <c r="Z144" s="6">
        <f t="shared" si="79"/>
        <v>631</v>
      </c>
    </row>
    <row r="145" spans="2:26" s="4" customFormat="1">
      <c r="B145" s="57" t="s">
        <v>460</v>
      </c>
      <c r="C145" s="4" t="s">
        <v>461</v>
      </c>
      <c r="D145" s="97" t="s">
        <v>59</v>
      </c>
      <c r="E145" s="97">
        <f>IF(D145=$B$11,H145,0)</f>
        <v>0</v>
      </c>
      <c r="F145" s="97">
        <f>IF(E145&gt;0,0,1)</f>
        <v>1</v>
      </c>
      <c r="G145" s="97" t="s">
        <v>462</v>
      </c>
      <c r="H145" s="97">
        <v>7</v>
      </c>
      <c r="I145" s="97"/>
      <c r="J145" s="57" t="s">
        <v>231</v>
      </c>
      <c r="K145" s="57" t="s">
        <v>118</v>
      </c>
      <c r="L145" s="7"/>
      <c r="M145" s="5"/>
      <c r="O145" s="51">
        <v>1064</v>
      </c>
      <c r="P145" s="6">
        <f>ROUND((O145*0.4),0)</f>
        <v>426</v>
      </c>
      <c r="Q145" s="4">
        <f>IF(O145&gt;0,((O145+300)-P145),0)</f>
        <v>938</v>
      </c>
      <c r="R145" s="56">
        <v>42493</v>
      </c>
      <c r="S145" s="3" t="s">
        <v>51</v>
      </c>
      <c r="T145" s="59" t="s">
        <v>240</v>
      </c>
      <c r="U145" s="6">
        <f>Q145+P145</f>
        <v>1364</v>
      </c>
      <c r="V145" s="6">
        <f>IF(H145&gt;0,70,0)</f>
        <v>70</v>
      </c>
      <c r="W145" s="4">
        <f>O145-V145</f>
        <v>994</v>
      </c>
      <c r="X145" s="6"/>
      <c r="Y145" s="6">
        <f>IF(H145&gt;0,30*F145,0)</f>
        <v>30</v>
      </c>
      <c r="Z145" s="6">
        <f>W145-Y145</f>
        <v>964</v>
      </c>
    </row>
    <row r="146" spans="2:26" s="4" customFormat="1" ht="19.2">
      <c r="B146" s="134" t="s">
        <v>440</v>
      </c>
      <c r="C146" s="4" t="s">
        <v>408</v>
      </c>
      <c r="D146" s="97" t="s">
        <v>59</v>
      </c>
      <c r="E146" s="97">
        <f t="shared" si="80"/>
        <v>0</v>
      </c>
      <c r="F146" s="97">
        <f t="shared" si="81"/>
        <v>1</v>
      </c>
      <c r="G146" s="97" t="s">
        <v>407</v>
      </c>
      <c r="H146" s="97">
        <v>7</v>
      </c>
      <c r="I146" s="97"/>
      <c r="J146" s="57" t="s">
        <v>409</v>
      </c>
      <c r="K146" s="57" t="s">
        <v>118</v>
      </c>
      <c r="L146" s="7"/>
      <c r="M146" s="5"/>
      <c r="O146" s="51">
        <v>957</v>
      </c>
      <c r="P146" s="6">
        <f t="shared" si="82"/>
        <v>383</v>
      </c>
      <c r="Q146" s="4">
        <f t="shared" si="83"/>
        <v>874</v>
      </c>
      <c r="R146" s="56">
        <v>42135</v>
      </c>
      <c r="S146" s="3" t="s">
        <v>51</v>
      </c>
      <c r="T146" s="65" t="s">
        <v>21</v>
      </c>
      <c r="U146" s="6">
        <f t="shared" si="84"/>
        <v>1257</v>
      </c>
      <c r="V146" s="6">
        <f t="shared" si="76"/>
        <v>70</v>
      </c>
      <c r="W146" s="4">
        <f t="shared" si="77"/>
        <v>887</v>
      </c>
      <c r="X146" s="6"/>
      <c r="Y146" s="6">
        <f t="shared" si="78"/>
        <v>30</v>
      </c>
      <c r="Z146" s="6">
        <f t="shared" si="79"/>
        <v>857</v>
      </c>
    </row>
    <row r="147" spans="2:26" s="4" customFormat="1" ht="15.6">
      <c r="B147" s="121" t="s">
        <v>468</v>
      </c>
      <c r="C147" s="116"/>
      <c r="D147" s="97" t="s">
        <v>27</v>
      </c>
      <c r="E147" s="97">
        <f t="shared" si="80"/>
        <v>0</v>
      </c>
      <c r="F147" s="97">
        <f t="shared" si="81"/>
        <v>1</v>
      </c>
      <c r="G147" s="97" t="s">
        <v>467</v>
      </c>
      <c r="H147" s="97">
        <v>6</v>
      </c>
      <c r="I147" s="97"/>
      <c r="J147" s="58" t="s">
        <v>359</v>
      </c>
      <c r="K147" s="57" t="s">
        <v>118</v>
      </c>
      <c r="L147" s="7"/>
      <c r="M147" s="5"/>
      <c r="O147" s="51">
        <v>0</v>
      </c>
      <c r="P147" s="6">
        <f t="shared" si="82"/>
        <v>0</v>
      </c>
      <c r="Q147" s="4">
        <f t="shared" si="83"/>
        <v>0</v>
      </c>
      <c r="R147" s="8"/>
      <c r="S147" s="3" t="s">
        <v>51</v>
      </c>
      <c r="T147" s="59"/>
      <c r="U147" s="6">
        <f t="shared" si="84"/>
        <v>0</v>
      </c>
      <c r="V147" s="6">
        <f t="shared" si="76"/>
        <v>70</v>
      </c>
      <c r="W147" s="4">
        <f t="shared" si="77"/>
        <v>-70</v>
      </c>
      <c r="X147" s="6"/>
      <c r="Y147" s="6">
        <f t="shared" si="78"/>
        <v>30</v>
      </c>
      <c r="Z147" s="6">
        <f t="shared" si="79"/>
        <v>-100</v>
      </c>
    </row>
    <row r="148" spans="2:26" s="4" customFormat="1">
      <c r="B148" s="135" t="s">
        <v>413</v>
      </c>
      <c r="C148" s="4" t="s">
        <v>414</v>
      </c>
      <c r="D148" s="58" t="s">
        <v>48</v>
      </c>
      <c r="E148" s="57">
        <f t="shared" si="80"/>
        <v>0</v>
      </c>
      <c r="F148" s="57">
        <f t="shared" si="81"/>
        <v>1</v>
      </c>
      <c r="G148" s="97" t="s">
        <v>412</v>
      </c>
      <c r="H148" s="97">
        <v>14</v>
      </c>
      <c r="I148" s="15"/>
      <c r="J148" s="57" t="s">
        <v>249</v>
      </c>
      <c r="K148" s="57" t="s">
        <v>118</v>
      </c>
      <c r="L148" s="7"/>
      <c r="M148" s="5"/>
      <c r="O148" s="51">
        <v>2024</v>
      </c>
      <c r="P148" s="6">
        <f t="shared" si="82"/>
        <v>810</v>
      </c>
      <c r="Q148" s="4">
        <f t="shared" si="83"/>
        <v>1514</v>
      </c>
      <c r="R148" s="56">
        <v>42148</v>
      </c>
      <c r="S148" s="3" t="s">
        <v>51</v>
      </c>
      <c r="T148" s="65" t="s">
        <v>21</v>
      </c>
      <c r="U148" s="6">
        <f t="shared" si="84"/>
        <v>2324</v>
      </c>
      <c r="V148" s="6">
        <f t="shared" si="76"/>
        <v>70</v>
      </c>
      <c r="W148" s="4">
        <f t="shared" si="77"/>
        <v>1954</v>
      </c>
      <c r="X148" s="6"/>
      <c r="Y148" s="6">
        <f t="shared" si="78"/>
        <v>30</v>
      </c>
      <c r="Z148" s="6">
        <f t="shared" si="79"/>
        <v>1924</v>
      </c>
    </row>
    <row r="149" spans="2:26" s="4" customFormat="1" ht="15.6">
      <c r="B149" s="121" t="s">
        <v>472</v>
      </c>
      <c r="C149" s="4" t="s">
        <v>473</v>
      </c>
      <c r="D149" s="97" t="s">
        <v>214</v>
      </c>
      <c r="E149" s="97">
        <f>IF(D149=$B$11,H149,0)</f>
        <v>0</v>
      </c>
      <c r="F149" s="97">
        <f>IF(E149&gt;0,0,1)</f>
        <v>1</v>
      </c>
      <c r="G149" s="97" t="s">
        <v>474</v>
      </c>
      <c r="H149" s="97">
        <v>4</v>
      </c>
      <c r="I149" s="97"/>
      <c r="J149" s="57" t="s">
        <v>475</v>
      </c>
      <c r="K149" s="57" t="s">
        <v>118</v>
      </c>
      <c r="L149" s="7"/>
      <c r="M149" s="5"/>
      <c r="O149" s="51">
        <v>635.30999999999995</v>
      </c>
      <c r="P149" s="6">
        <f>ROUND((O149*0.4),0)</f>
        <v>254</v>
      </c>
      <c r="Q149" s="4">
        <f>IF(O149&gt;0,((O149+300)-P149),0)</f>
        <v>681.31</v>
      </c>
      <c r="R149" s="128" t="s">
        <v>50</v>
      </c>
      <c r="S149" s="3" t="s">
        <v>51</v>
      </c>
      <c r="T149" s="59" t="s">
        <v>21</v>
      </c>
      <c r="U149" s="6">
        <f>Q149+P149</f>
        <v>935.31</v>
      </c>
      <c r="V149" s="6">
        <f>IF(H149&gt;0,70,0)</f>
        <v>70</v>
      </c>
      <c r="W149" s="4">
        <f>O149-V149</f>
        <v>565.30999999999995</v>
      </c>
      <c r="X149" s="6"/>
      <c r="Y149" s="6">
        <f>IF(H149&gt;0,30*F149,0)</f>
        <v>30</v>
      </c>
      <c r="Z149" s="6">
        <f>W149-Y149</f>
        <v>535.30999999999995</v>
      </c>
    </row>
    <row r="150" spans="2:26" s="4" customFormat="1" ht="15.6">
      <c r="B150" s="105" t="s">
        <v>424</v>
      </c>
      <c r="C150" s="4" t="s">
        <v>425</v>
      </c>
      <c r="D150" s="97" t="s">
        <v>53</v>
      </c>
      <c r="E150" s="97">
        <f t="shared" si="80"/>
        <v>0</v>
      </c>
      <c r="F150" s="97">
        <f t="shared" si="81"/>
        <v>1</v>
      </c>
      <c r="G150" s="97" t="s">
        <v>423</v>
      </c>
      <c r="H150" s="97">
        <v>7</v>
      </c>
      <c r="I150" s="97"/>
      <c r="J150" s="57" t="s">
        <v>409</v>
      </c>
      <c r="K150" s="57" t="s">
        <v>118</v>
      </c>
      <c r="L150" s="7"/>
      <c r="M150" s="5"/>
      <c r="O150" s="51">
        <v>1051</v>
      </c>
      <c r="P150" s="6">
        <f t="shared" si="82"/>
        <v>420</v>
      </c>
      <c r="Q150" s="4">
        <f t="shared" si="83"/>
        <v>931</v>
      </c>
      <c r="R150" s="56">
        <v>42166</v>
      </c>
      <c r="S150" s="3" t="s">
        <v>51</v>
      </c>
      <c r="T150" s="59" t="s">
        <v>497</v>
      </c>
      <c r="U150" s="6">
        <f t="shared" si="84"/>
        <v>1351</v>
      </c>
      <c r="V150" s="6">
        <f t="shared" si="76"/>
        <v>70</v>
      </c>
      <c r="W150" s="4">
        <f t="shared" si="77"/>
        <v>981</v>
      </c>
      <c r="X150" s="6"/>
      <c r="Y150" s="6">
        <f t="shared" si="78"/>
        <v>30</v>
      </c>
      <c r="Z150" s="6">
        <f t="shared" si="79"/>
        <v>951</v>
      </c>
    </row>
    <row r="151" spans="2:26" s="4" customFormat="1">
      <c r="B151" s="57" t="s">
        <v>480</v>
      </c>
      <c r="C151" s="4" t="s">
        <v>481</v>
      </c>
      <c r="D151" s="97" t="s">
        <v>48</v>
      </c>
      <c r="E151" s="97">
        <f t="shared" si="80"/>
        <v>0</v>
      </c>
      <c r="F151" s="97">
        <f t="shared" si="81"/>
        <v>1</v>
      </c>
      <c r="G151" s="97" t="s">
        <v>482</v>
      </c>
      <c r="H151" s="97">
        <v>7</v>
      </c>
      <c r="I151" s="97"/>
      <c r="J151" s="57" t="s">
        <v>409</v>
      </c>
      <c r="K151" s="57" t="s">
        <v>118</v>
      </c>
      <c r="L151" s="7"/>
      <c r="M151" s="5"/>
      <c r="O151" s="51">
        <v>1100</v>
      </c>
      <c r="P151" s="6">
        <v>1400</v>
      </c>
      <c r="Q151" s="4">
        <f t="shared" si="83"/>
        <v>0</v>
      </c>
      <c r="R151" s="128" t="s">
        <v>50</v>
      </c>
      <c r="S151" s="3" t="s">
        <v>51</v>
      </c>
      <c r="T151" s="4" t="s">
        <v>389</v>
      </c>
      <c r="U151" s="6">
        <f t="shared" si="84"/>
        <v>1400</v>
      </c>
      <c r="V151" s="6">
        <f t="shared" si="76"/>
        <v>70</v>
      </c>
      <c r="W151" s="4">
        <f t="shared" si="77"/>
        <v>1030</v>
      </c>
      <c r="X151" s="6"/>
      <c r="Y151" s="6">
        <f t="shared" si="78"/>
        <v>30</v>
      </c>
      <c r="Z151" s="6">
        <f t="shared" si="79"/>
        <v>1000</v>
      </c>
    </row>
    <row r="152" spans="2:26" s="4" customFormat="1" ht="15.6">
      <c r="B152" s="105" t="s">
        <v>420</v>
      </c>
      <c r="C152" s="4" t="s">
        <v>419</v>
      </c>
      <c r="D152" s="97" t="s">
        <v>483</v>
      </c>
      <c r="E152" s="97">
        <f t="shared" si="80"/>
        <v>0</v>
      </c>
      <c r="F152" s="97">
        <f t="shared" si="81"/>
        <v>1</v>
      </c>
      <c r="G152" s="97" t="s">
        <v>418</v>
      </c>
      <c r="H152" s="97">
        <v>10</v>
      </c>
      <c r="I152" s="97"/>
      <c r="J152" s="58" t="s">
        <v>54</v>
      </c>
      <c r="K152" s="57" t="s">
        <v>118</v>
      </c>
      <c r="L152" s="59"/>
      <c r="M152" s="60"/>
      <c r="N152" s="57"/>
      <c r="O152" s="51">
        <v>1538</v>
      </c>
      <c r="P152" s="6">
        <f t="shared" si="82"/>
        <v>615</v>
      </c>
      <c r="Q152" s="4">
        <f t="shared" si="83"/>
        <v>1223</v>
      </c>
      <c r="R152" s="56">
        <v>42180</v>
      </c>
      <c r="S152" s="3" t="s">
        <v>51</v>
      </c>
      <c r="T152" s="65" t="s">
        <v>505</v>
      </c>
      <c r="U152" s="6">
        <f t="shared" si="84"/>
        <v>1838</v>
      </c>
      <c r="V152" s="6">
        <f t="shared" si="76"/>
        <v>70</v>
      </c>
      <c r="W152" s="4">
        <f t="shared" si="77"/>
        <v>1468</v>
      </c>
      <c r="X152" s="6"/>
      <c r="Y152" s="6">
        <f t="shared" si="78"/>
        <v>30</v>
      </c>
      <c r="Z152" s="6">
        <f t="shared" si="79"/>
        <v>1438</v>
      </c>
    </row>
    <row r="153" spans="2:26" s="4" customFormat="1">
      <c r="B153" s="97" t="s">
        <v>487</v>
      </c>
      <c r="C153" s="4" t="s">
        <v>490</v>
      </c>
      <c r="D153" s="97" t="s">
        <v>53</v>
      </c>
      <c r="E153" s="97">
        <f t="shared" si="80"/>
        <v>0</v>
      </c>
      <c r="F153" s="97">
        <f t="shared" si="81"/>
        <v>1</v>
      </c>
      <c r="G153" s="97" t="s">
        <v>488</v>
      </c>
      <c r="H153" s="97">
        <v>7</v>
      </c>
      <c r="I153" s="97"/>
      <c r="J153" s="58" t="s">
        <v>489</v>
      </c>
      <c r="K153" s="57" t="s">
        <v>118</v>
      </c>
      <c r="L153" s="7"/>
      <c r="M153" s="5"/>
      <c r="O153" s="51">
        <v>837.86</v>
      </c>
      <c r="P153" s="6">
        <v>0</v>
      </c>
      <c r="Q153" s="4">
        <f t="shared" si="83"/>
        <v>1137.8600000000001</v>
      </c>
      <c r="R153" s="56" t="s">
        <v>50</v>
      </c>
      <c r="S153" s="3" t="s">
        <v>51</v>
      </c>
      <c r="T153" s="65" t="s">
        <v>389</v>
      </c>
      <c r="U153" s="6">
        <f t="shared" si="84"/>
        <v>1137.8600000000001</v>
      </c>
      <c r="V153" s="6">
        <f t="shared" si="76"/>
        <v>70</v>
      </c>
      <c r="W153" s="4">
        <f t="shared" si="77"/>
        <v>767.86</v>
      </c>
      <c r="X153" s="6"/>
      <c r="Y153" s="6">
        <f t="shared" si="78"/>
        <v>30</v>
      </c>
      <c r="Z153" s="6">
        <f t="shared" si="79"/>
        <v>737.86</v>
      </c>
    </row>
    <row r="154" spans="2:26" s="4" customFormat="1">
      <c r="B154" s="94" t="s">
        <v>449</v>
      </c>
      <c r="C154" s="57" t="s">
        <v>450</v>
      </c>
      <c r="D154" s="97" t="s">
        <v>214</v>
      </c>
      <c r="E154" s="97">
        <f t="shared" si="80"/>
        <v>0</v>
      </c>
      <c r="F154" s="97">
        <f t="shared" si="81"/>
        <v>1</v>
      </c>
      <c r="G154" s="97" t="s">
        <v>451</v>
      </c>
      <c r="H154" s="97">
        <v>7</v>
      </c>
      <c r="I154" s="97"/>
      <c r="J154" s="58" t="s">
        <v>231</v>
      </c>
      <c r="K154" s="57" t="s">
        <v>118</v>
      </c>
      <c r="L154" s="7"/>
      <c r="M154" s="5"/>
      <c r="O154" s="51">
        <v>748</v>
      </c>
      <c r="P154" s="6">
        <f t="shared" si="82"/>
        <v>299</v>
      </c>
      <c r="Q154" s="4">
        <f t="shared" si="83"/>
        <v>749</v>
      </c>
      <c r="R154" s="56">
        <v>42563</v>
      </c>
      <c r="S154" s="3" t="s">
        <v>51</v>
      </c>
      <c r="T154" s="65" t="s">
        <v>506</v>
      </c>
      <c r="U154" s="6">
        <f t="shared" si="84"/>
        <v>1048</v>
      </c>
      <c r="V154" s="6">
        <f t="shared" si="76"/>
        <v>70</v>
      </c>
      <c r="W154" s="4">
        <f t="shared" si="77"/>
        <v>678</v>
      </c>
      <c r="X154" s="6"/>
      <c r="Y154" s="6">
        <f t="shared" si="78"/>
        <v>30</v>
      </c>
      <c r="Z154" s="6">
        <f t="shared" si="79"/>
        <v>648</v>
      </c>
    </row>
    <row r="155" spans="2:26" s="4" customFormat="1" ht="15.6">
      <c r="B155" s="120" t="s">
        <v>492</v>
      </c>
      <c r="C155" s="4" t="s">
        <v>491</v>
      </c>
      <c r="D155" s="97" t="s">
        <v>53</v>
      </c>
      <c r="E155" s="57">
        <f>IF(D155=$B$11,H155,0)</f>
        <v>0</v>
      </c>
      <c r="F155" s="57">
        <f>IF(E155&gt;0,0,1)</f>
        <v>1</v>
      </c>
      <c r="G155" s="97" t="s">
        <v>493</v>
      </c>
      <c r="H155" s="58">
        <v>4</v>
      </c>
      <c r="I155" s="58"/>
      <c r="J155" s="58" t="s">
        <v>231</v>
      </c>
      <c r="K155" s="57" t="s">
        <v>118</v>
      </c>
      <c r="L155" s="59"/>
      <c r="M155" s="60"/>
      <c r="N155" s="57"/>
      <c r="O155" s="51">
        <v>466.58</v>
      </c>
      <c r="P155" s="6">
        <v>766.58</v>
      </c>
      <c r="Q155" s="4">
        <v>0</v>
      </c>
      <c r="R155" s="56" t="s">
        <v>50</v>
      </c>
      <c r="S155" s="3" t="s">
        <v>51</v>
      </c>
      <c r="T155" s="137" t="s">
        <v>507</v>
      </c>
      <c r="U155" s="6">
        <f>Q155+P155</f>
        <v>766.58</v>
      </c>
      <c r="V155" s="6">
        <f>IF(H155&gt;0,70,0)</f>
        <v>70</v>
      </c>
      <c r="W155" s="4">
        <f>O155-V155</f>
        <v>396.58</v>
      </c>
      <c r="X155" s="6"/>
      <c r="Y155" s="6">
        <f>IF(H155&gt;0,30*F155,0)</f>
        <v>30</v>
      </c>
      <c r="Z155" s="6">
        <f>W155-Y155</f>
        <v>366.58</v>
      </c>
    </row>
    <row r="156" spans="2:26" s="4" customFormat="1" ht="15.6">
      <c r="B156" s="120" t="s">
        <v>433</v>
      </c>
      <c r="C156" s="57" t="s">
        <v>248</v>
      </c>
      <c r="D156" s="97" t="s">
        <v>53</v>
      </c>
      <c r="E156" s="97">
        <f t="shared" si="80"/>
        <v>0</v>
      </c>
      <c r="F156" s="97">
        <f t="shared" si="81"/>
        <v>1</v>
      </c>
      <c r="G156" s="97" t="s">
        <v>432</v>
      </c>
      <c r="H156" s="97">
        <v>7</v>
      </c>
      <c r="I156" s="97"/>
      <c r="J156" s="58" t="s">
        <v>249</v>
      </c>
      <c r="K156" s="57" t="s">
        <v>118</v>
      </c>
      <c r="L156" s="59"/>
      <c r="M156" s="60"/>
      <c r="N156" s="57"/>
      <c r="O156" s="51">
        <v>709</v>
      </c>
      <c r="P156" s="6">
        <v>300</v>
      </c>
      <c r="Q156" s="57">
        <f t="shared" si="83"/>
        <v>709</v>
      </c>
      <c r="R156" s="96">
        <v>42210</v>
      </c>
      <c r="S156" s="3" t="s">
        <v>51</v>
      </c>
      <c r="T156" s="59" t="s">
        <v>149</v>
      </c>
      <c r="U156" s="6">
        <f t="shared" si="84"/>
        <v>1009</v>
      </c>
      <c r="V156" s="6">
        <f t="shared" si="76"/>
        <v>70</v>
      </c>
      <c r="W156" s="4">
        <f t="shared" si="77"/>
        <v>639</v>
      </c>
      <c r="X156" s="6"/>
      <c r="Y156" s="6">
        <f t="shared" si="78"/>
        <v>30</v>
      </c>
      <c r="Z156" s="6">
        <f t="shared" si="79"/>
        <v>609</v>
      </c>
    </row>
    <row r="157" spans="2:26" s="4" customFormat="1">
      <c r="B157" s="57" t="s">
        <v>477</v>
      </c>
      <c r="C157" s="4" t="s">
        <v>478</v>
      </c>
      <c r="D157" s="97" t="s">
        <v>53</v>
      </c>
      <c r="E157" s="97">
        <f t="shared" si="80"/>
        <v>0</v>
      </c>
      <c r="F157" s="97">
        <f t="shared" si="81"/>
        <v>1</v>
      </c>
      <c r="G157" s="97" t="s">
        <v>479</v>
      </c>
      <c r="H157" s="97">
        <v>8</v>
      </c>
      <c r="I157" s="97"/>
      <c r="J157" s="58" t="s">
        <v>249</v>
      </c>
      <c r="K157" s="57" t="s">
        <v>118</v>
      </c>
      <c r="L157" s="7"/>
      <c r="M157" s="5"/>
      <c r="O157" s="51">
        <v>740</v>
      </c>
      <c r="P157" s="6">
        <f t="shared" si="82"/>
        <v>296</v>
      </c>
      <c r="Q157" s="4">
        <f>IF(O157&gt;0,((O157+300)-P157),0)</f>
        <v>744</v>
      </c>
      <c r="R157" s="56">
        <v>42590</v>
      </c>
      <c r="S157" s="3" t="s">
        <v>51</v>
      </c>
      <c r="T157" s="65" t="s">
        <v>21</v>
      </c>
      <c r="U157" s="6">
        <f t="shared" si="84"/>
        <v>1040</v>
      </c>
      <c r="V157" s="6">
        <f t="shared" si="76"/>
        <v>70</v>
      </c>
      <c r="W157" s="4">
        <f t="shared" si="77"/>
        <v>670</v>
      </c>
      <c r="X157" s="6"/>
      <c r="Y157" s="6">
        <f t="shared" si="78"/>
        <v>30</v>
      </c>
      <c r="Z157" s="6">
        <f t="shared" si="79"/>
        <v>640</v>
      </c>
    </row>
    <row r="158" spans="2:26" s="4" customFormat="1" ht="15.6">
      <c r="B158" s="121" t="s">
        <v>485</v>
      </c>
      <c r="C158" s="4" t="s">
        <v>486</v>
      </c>
      <c r="D158" s="97" t="s">
        <v>53</v>
      </c>
      <c r="E158" s="97">
        <f t="shared" si="80"/>
        <v>0</v>
      </c>
      <c r="F158" s="97">
        <f t="shared" si="81"/>
        <v>1</v>
      </c>
      <c r="G158" s="97" t="s">
        <v>484</v>
      </c>
      <c r="H158" s="97">
        <v>14</v>
      </c>
      <c r="I158" s="97"/>
      <c r="J158" s="58" t="s">
        <v>216</v>
      </c>
      <c r="K158" s="57" t="s">
        <v>118</v>
      </c>
      <c r="L158" s="7"/>
      <c r="M158" s="5"/>
      <c r="O158" s="51">
        <v>1213.99</v>
      </c>
      <c r="P158" s="6">
        <v>650.46</v>
      </c>
      <c r="Q158" s="4">
        <f>IF(O158&gt;0,((O158+300)-P158),0)</f>
        <v>863.53</v>
      </c>
      <c r="R158" s="56">
        <v>42596</v>
      </c>
      <c r="S158" s="3" t="s">
        <v>51</v>
      </c>
      <c r="T158" s="65" t="s">
        <v>21</v>
      </c>
      <c r="U158" s="6">
        <f t="shared" si="84"/>
        <v>1513.99</v>
      </c>
      <c r="V158" s="6">
        <f t="shared" si="76"/>
        <v>70</v>
      </c>
      <c r="W158" s="4">
        <f t="shared" si="77"/>
        <v>1143.99</v>
      </c>
      <c r="X158" s="6"/>
      <c r="Y158" s="6">
        <f t="shared" si="78"/>
        <v>30</v>
      </c>
      <c r="Z158" s="6">
        <f t="shared" si="79"/>
        <v>1113.99</v>
      </c>
    </row>
    <row r="159" spans="2:26" s="4" customFormat="1" ht="15.6">
      <c r="B159" s="120" t="s">
        <v>514</v>
      </c>
      <c r="C159" s="4" t="s">
        <v>515</v>
      </c>
      <c r="D159" s="97" t="s">
        <v>53</v>
      </c>
      <c r="E159" s="57">
        <f t="shared" si="80"/>
        <v>0</v>
      </c>
      <c r="F159" s="57">
        <f t="shared" si="81"/>
        <v>1</v>
      </c>
      <c r="G159" s="106" t="s">
        <v>516</v>
      </c>
      <c r="H159" s="97">
        <v>7</v>
      </c>
      <c r="I159" s="58"/>
      <c r="J159" s="58" t="s">
        <v>216</v>
      </c>
      <c r="K159" s="57" t="s">
        <v>118</v>
      </c>
      <c r="L159" s="59"/>
      <c r="M159" s="60"/>
      <c r="N159" s="57"/>
      <c r="O159" s="51">
        <f>473.42-36.4</f>
        <v>437.02000000000004</v>
      </c>
      <c r="P159" s="6">
        <v>437.02</v>
      </c>
      <c r="Q159" s="4">
        <f>IF(O159&gt;0,((O159+300)-P159),0)</f>
        <v>300</v>
      </c>
      <c r="R159" s="56" t="s">
        <v>50</v>
      </c>
      <c r="S159" s="3" t="s">
        <v>51</v>
      </c>
      <c r="T159" s="59" t="s">
        <v>21</v>
      </c>
      <c r="U159" s="6">
        <f t="shared" si="84"/>
        <v>737.02</v>
      </c>
      <c r="V159" s="6">
        <f t="shared" si="76"/>
        <v>70</v>
      </c>
      <c r="W159" s="4">
        <f t="shared" si="77"/>
        <v>367.02000000000004</v>
      </c>
      <c r="X159" s="6"/>
      <c r="Y159" s="6">
        <f t="shared" si="78"/>
        <v>30</v>
      </c>
      <c r="Z159" s="6">
        <f t="shared" si="79"/>
        <v>337.02000000000004</v>
      </c>
    </row>
    <row r="160" spans="2:26" s="4" customFormat="1">
      <c r="B160" s="15"/>
      <c r="C160" s="52"/>
      <c r="D160" s="58"/>
      <c r="E160" s="4">
        <f t="shared" si="80"/>
        <v>0</v>
      </c>
      <c r="F160" s="4">
        <f t="shared" si="81"/>
        <v>1</v>
      </c>
      <c r="G160" s="58"/>
      <c r="H160" s="15"/>
      <c r="I160" s="15"/>
      <c r="J160" s="58"/>
      <c r="K160" s="57"/>
      <c r="L160" s="7"/>
      <c r="M160" s="5"/>
      <c r="O160" s="51">
        <v>0</v>
      </c>
      <c r="P160" s="6">
        <f t="shared" si="82"/>
        <v>0</v>
      </c>
      <c r="Q160" s="4">
        <f>IF(O160&gt;0,((O160+300)-P160),0)</f>
        <v>0</v>
      </c>
      <c r="R160" s="8"/>
      <c r="S160" s="3"/>
      <c r="T160" s="59"/>
      <c r="U160" s="6">
        <f t="shared" si="84"/>
        <v>0</v>
      </c>
      <c r="V160" s="6">
        <f t="shared" si="76"/>
        <v>0</v>
      </c>
      <c r="W160" s="4">
        <f t="shared" si="77"/>
        <v>0</v>
      </c>
      <c r="X160" s="6"/>
      <c r="Y160" s="6">
        <f t="shared" si="78"/>
        <v>0</v>
      </c>
      <c r="Z160" s="6">
        <f t="shared" si="79"/>
        <v>0</v>
      </c>
    </row>
    <row r="161" spans="1:26" s="4" customFormat="1">
      <c r="A161" s="43"/>
      <c r="B161" s="44"/>
      <c r="C161" s="45"/>
      <c r="D161" s="44"/>
      <c r="E161" s="44"/>
      <c r="F161" s="44"/>
      <c r="G161" s="44"/>
      <c r="H161" s="44"/>
      <c r="I161" s="44"/>
      <c r="J161" s="44"/>
      <c r="K161" s="43"/>
      <c r="L161" s="46"/>
      <c r="M161" s="47"/>
      <c r="N161" s="43"/>
      <c r="O161" s="48">
        <f>SUM(O133:O160)</f>
        <v>22493.760000000002</v>
      </c>
      <c r="P161" s="49"/>
      <c r="Q161" s="43"/>
      <c r="R161" s="50"/>
      <c r="S161" s="48"/>
      <c r="T161" s="46"/>
      <c r="U161" s="49"/>
      <c r="V161" s="49"/>
      <c r="W161" s="43"/>
      <c r="X161" s="49"/>
      <c r="Y161" s="49"/>
      <c r="Z161" s="48">
        <f>SUM(Z132:Z160)</f>
        <v>20223.760000000002</v>
      </c>
    </row>
    <row r="162" spans="1:26" s="4" customFormat="1" ht="23.4">
      <c r="A162" s="76"/>
      <c r="B162" s="83">
        <v>2017</v>
      </c>
      <c r="C162" s="78"/>
      <c r="D162" s="77"/>
      <c r="E162" s="77"/>
      <c r="F162" s="77"/>
      <c r="G162" s="77"/>
      <c r="H162" s="81" t="s">
        <v>368</v>
      </c>
      <c r="I162" s="77"/>
      <c r="J162" s="77"/>
      <c r="K162" s="76"/>
      <c r="L162" s="79"/>
      <c r="M162" s="80"/>
      <c r="N162" s="76"/>
      <c r="O162" s="82" t="s">
        <v>17</v>
      </c>
      <c r="P162" s="82" t="s">
        <v>18</v>
      </c>
      <c r="Q162" s="82" t="s">
        <v>19</v>
      </c>
      <c r="R162" s="82" t="s">
        <v>20</v>
      </c>
      <c r="S162" s="82" t="s">
        <v>39</v>
      </c>
      <c r="T162" s="79" t="s">
        <v>21</v>
      </c>
      <c r="U162" s="82" t="s">
        <v>7</v>
      </c>
      <c r="V162" s="82"/>
      <c r="W162" s="76"/>
      <c r="X162" s="82"/>
      <c r="Y162" s="82"/>
      <c r="Z162" s="81"/>
    </row>
    <row r="163" spans="1:26" s="4" customFormat="1">
      <c r="B163" s="58" t="s">
        <v>403</v>
      </c>
      <c r="C163" s="4" t="s">
        <v>404</v>
      </c>
      <c r="D163" s="58"/>
      <c r="E163" s="57">
        <f>IF(D163=$B$11,H163,0)</f>
        <v>0</v>
      </c>
      <c r="F163" s="57">
        <f>IF(E163&gt;0,0,1)</f>
        <v>1</v>
      </c>
      <c r="G163" s="57" t="s">
        <v>402</v>
      </c>
      <c r="H163" s="15">
        <v>91</v>
      </c>
      <c r="I163" s="15"/>
      <c r="J163" s="57" t="s">
        <v>216</v>
      </c>
      <c r="K163" s="57" t="s">
        <v>406</v>
      </c>
      <c r="L163" s="7"/>
      <c r="M163" s="5"/>
      <c r="O163" s="51">
        <v>4256</v>
      </c>
      <c r="P163" s="6">
        <f>ROUND((O163*0.4),0)</f>
        <v>1702</v>
      </c>
      <c r="Q163" s="4">
        <f>IF(O163&gt;0,((O163+300)-P163),0)</f>
        <v>2854</v>
      </c>
      <c r="R163" s="56" t="s">
        <v>405</v>
      </c>
      <c r="S163" s="3" t="s">
        <v>51</v>
      </c>
      <c r="T163" s="59" t="s">
        <v>538</v>
      </c>
      <c r="U163" s="6">
        <f t="shared" ref="U163:U168" si="85">Q163+P163</f>
        <v>4556</v>
      </c>
      <c r="V163" s="6">
        <f t="shared" ref="V163:V191" si="86">IF(H163&gt;0,70,0)</f>
        <v>70</v>
      </c>
      <c r="W163" s="4">
        <f t="shared" ref="W163:W191" si="87">O163-V163</f>
        <v>4186</v>
      </c>
      <c r="X163" s="6"/>
      <c r="Y163" s="6">
        <f t="shared" ref="Y163:Y191" si="88">IF(H163&gt;0,30*F163,0)</f>
        <v>30</v>
      </c>
      <c r="Z163" s="6">
        <f t="shared" ref="Z163:Z191" si="89">W163-Y163</f>
        <v>4156</v>
      </c>
    </row>
    <row r="164" spans="1:26" s="4" customFormat="1" ht="15.6">
      <c r="B164" s="105" t="s">
        <v>519</v>
      </c>
      <c r="C164" s="4" t="s">
        <v>520</v>
      </c>
      <c r="D164" s="57"/>
      <c r="E164" s="58"/>
      <c r="F164" s="58"/>
      <c r="G164" s="58" t="s">
        <v>517</v>
      </c>
      <c r="H164" s="58">
        <v>7</v>
      </c>
      <c r="I164" s="58"/>
      <c r="J164" s="57" t="s">
        <v>518</v>
      </c>
      <c r="K164" s="57" t="s">
        <v>118</v>
      </c>
      <c r="L164" s="87"/>
      <c r="M164" s="97"/>
      <c r="N164" s="58"/>
      <c r="O164" s="51">
        <f>P164+Q164</f>
        <v>909.53</v>
      </c>
      <c r="P164" s="6">
        <v>304.77</v>
      </c>
      <c r="Q164" s="4">
        <v>604.76</v>
      </c>
      <c r="R164" s="96" t="s">
        <v>521</v>
      </c>
      <c r="S164" s="3" t="s">
        <v>51</v>
      </c>
      <c r="T164" s="59" t="s">
        <v>21</v>
      </c>
      <c r="U164" s="16">
        <f t="shared" si="85"/>
        <v>909.53</v>
      </c>
      <c r="V164" s="16">
        <f t="shared" si="86"/>
        <v>70</v>
      </c>
      <c r="W164" s="15">
        <f t="shared" si="87"/>
        <v>839.53</v>
      </c>
      <c r="X164" s="16"/>
      <c r="Y164" s="16">
        <f t="shared" si="88"/>
        <v>0</v>
      </c>
      <c r="Z164" s="16">
        <f t="shared" si="89"/>
        <v>839.53</v>
      </c>
    </row>
    <row r="165" spans="1:26" s="4" customFormat="1" ht="15.6">
      <c r="A165" s="57"/>
      <c r="B165" s="123"/>
      <c r="C165" s="57"/>
      <c r="D165" s="97"/>
      <c r="E165" s="97">
        <f>IF(D165=$B$11,H165,0)</f>
        <v>0</v>
      </c>
      <c r="F165" s="97">
        <f>IF(E165&gt;0,0,1)</f>
        <v>1</v>
      </c>
      <c r="G165" s="97"/>
      <c r="H165" s="97"/>
      <c r="I165" s="97"/>
      <c r="J165" s="57"/>
      <c r="K165" s="57" t="s">
        <v>118</v>
      </c>
      <c r="L165" s="7"/>
      <c r="M165" s="5"/>
      <c r="O165" s="51">
        <v>0</v>
      </c>
      <c r="P165" s="6">
        <f>ROUND((O165*0.4),0)</f>
        <v>0</v>
      </c>
      <c r="Q165" s="4">
        <v>0</v>
      </c>
      <c r="R165" s="8"/>
      <c r="S165" s="3" t="s">
        <v>51</v>
      </c>
      <c r="T165" s="59"/>
      <c r="U165" s="6">
        <f t="shared" si="85"/>
        <v>0</v>
      </c>
      <c r="V165" s="6">
        <f t="shared" si="86"/>
        <v>0</v>
      </c>
      <c r="W165" s="4">
        <f t="shared" si="87"/>
        <v>0</v>
      </c>
      <c r="X165" s="6"/>
      <c r="Y165" s="6">
        <f t="shared" si="88"/>
        <v>0</v>
      </c>
      <c r="Z165" s="6">
        <f t="shared" si="89"/>
        <v>0</v>
      </c>
    </row>
    <row r="166" spans="1:26" s="4" customFormat="1">
      <c r="A166" s="57"/>
      <c r="B166" s="57" t="s">
        <v>523</v>
      </c>
      <c r="C166" s="4" t="s">
        <v>524</v>
      </c>
      <c r="D166" s="97"/>
      <c r="E166" s="97">
        <f>IF(D166=$B$11,H166,0)</f>
        <v>0</v>
      </c>
      <c r="F166" s="97">
        <f>IF(E166&gt;0,0,1)</f>
        <v>1</v>
      </c>
      <c r="G166" s="97" t="s">
        <v>522</v>
      </c>
      <c r="H166" s="97">
        <v>14</v>
      </c>
      <c r="I166" s="97"/>
      <c r="J166" s="57" t="s">
        <v>216</v>
      </c>
      <c r="K166" s="57" t="s">
        <v>118</v>
      </c>
      <c r="L166" s="7"/>
      <c r="M166" s="5"/>
      <c r="O166" s="51">
        <f>1584.76-300</f>
        <v>1284.76</v>
      </c>
      <c r="P166" s="6">
        <f>737.83-95.45</f>
        <v>642.38</v>
      </c>
      <c r="Q166" s="4">
        <f>IF(O166&gt;0,((O166+300)-P166),0)</f>
        <v>942.38</v>
      </c>
      <c r="R166" s="56">
        <v>42790</v>
      </c>
      <c r="S166" s="3" t="s">
        <v>51</v>
      </c>
      <c r="T166" s="65" t="s">
        <v>544</v>
      </c>
      <c r="U166" s="6">
        <f t="shared" si="85"/>
        <v>1584.76</v>
      </c>
      <c r="V166" s="6">
        <f t="shared" si="86"/>
        <v>70</v>
      </c>
      <c r="W166" s="4">
        <f t="shared" si="87"/>
        <v>1214.76</v>
      </c>
      <c r="X166" s="6"/>
      <c r="Y166" s="6">
        <f t="shared" si="88"/>
        <v>30</v>
      </c>
      <c r="Z166" s="6">
        <f t="shared" si="89"/>
        <v>1184.76</v>
      </c>
    </row>
    <row r="167" spans="1:26" s="4" customFormat="1" ht="15.6">
      <c r="A167" s="57"/>
      <c r="B167" s="121"/>
      <c r="C167" s="57"/>
      <c r="D167" s="97"/>
      <c r="E167" s="97">
        <f>IF(D167=$B$11,H167,0)</f>
        <v>0</v>
      </c>
      <c r="F167" s="97">
        <f>IF(E167&gt;0,0,1)</f>
        <v>1</v>
      </c>
      <c r="G167" s="97"/>
      <c r="H167" s="97"/>
      <c r="I167" s="97"/>
      <c r="J167" s="58"/>
      <c r="K167" s="57" t="s">
        <v>118</v>
      </c>
      <c r="L167" s="7"/>
      <c r="M167" s="5"/>
      <c r="O167" s="51">
        <v>0</v>
      </c>
      <c r="P167" s="6">
        <f>ROUND((O167*0.4),0)</f>
        <v>0</v>
      </c>
      <c r="Q167" s="4">
        <f>IF(O167&gt;0,((O167+300)-P167),0)</f>
        <v>0</v>
      </c>
      <c r="R167" s="56"/>
      <c r="S167" s="3" t="s">
        <v>51</v>
      </c>
      <c r="T167" s="65"/>
      <c r="U167" s="6">
        <f t="shared" si="85"/>
        <v>0</v>
      </c>
      <c r="V167" s="6">
        <f t="shared" si="86"/>
        <v>0</v>
      </c>
      <c r="W167" s="4">
        <f t="shared" si="87"/>
        <v>0</v>
      </c>
      <c r="X167" s="6"/>
      <c r="Y167" s="6">
        <f t="shared" si="88"/>
        <v>0</v>
      </c>
      <c r="Z167" s="6">
        <f t="shared" si="89"/>
        <v>0</v>
      </c>
    </row>
    <row r="168" spans="1:26" s="4" customFormat="1" ht="15.6">
      <c r="A168" s="57"/>
      <c r="B168" s="105"/>
      <c r="C168" s="57"/>
      <c r="D168" s="97"/>
      <c r="E168" s="97"/>
      <c r="F168" s="97"/>
      <c r="G168" s="97"/>
      <c r="H168" s="97"/>
      <c r="I168" s="97"/>
      <c r="J168" s="58"/>
      <c r="K168" s="57" t="s">
        <v>118</v>
      </c>
      <c r="L168" s="7"/>
      <c r="M168" s="5"/>
      <c r="O168" s="51">
        <v>0</v>
      </c>
      <c r="P168" s="6">
        <f>ROUND((O168*0.5),0)</f>
        <v>0</v>
      </c>
      <c r="Q168" s="4">
        <f>IF(O168&gt;0,((O168+300)-P168),0)</f>
        <v>0</v>
      </c>
      <c r="R168" s="56"/>
      <c r="S168" s="3" t="s">
        <v>51</v>
      </c>
      <c r="T168" s="65"/>
      <c r="U168" s="6">
        <f t="shared" si="85"/>
        <v>0</v>
      </c>
      <c r="V168" s="6">
        <f t="shared" si="86"/>
        <v>0</v>
      </c>
      <c r="W168" s="4">
        <f t="shared" si="87"/>
        <v>0</v>
      </c>
      <c r="X168" s="6"/>
      <c r="Y168" s="6">
        <f t="shared" si="88"/>
        <v>0</v>
      </c>
      <c r="Z168" s="6">
        <f t="shared" si="89"/>
        <v>0</v>
      </c>
    </row>
    <row r="169" spans="1:26" s="4" customFormat="1">
      <c r="A169" s="57"/>
      <c r="B169" s="124" t="s">
        <v>531</v>
      </c>
      <c r="C169" s="4" t="s">
        <v>530</v>
      </c>
      <c r="D169" s="97"/>
      <c r="E169" s="97">
        <f t="shared" ref="E169:E174" si="90">IF(D169=$B$11,H169,0)</f>
        <v>0</v>
      </c>
      <c r="F169" s="97">
        <f t="shared" ref="F169:F174" si="91">IF(E169&gt;0,0,1)</f>
        <v>1</v>
      </c>
      <c r="G169" s="97" t="s">
        <v>529</v>
      </c>
      <c r="H169" s="97">
        <v>7</v>
      </c>
      <c r="I169" s="97"/>
      <c r="J169" s="58" t="s">
        <v>359</v>
      </c>
      <c r="K169" s="57" t="s">
        <v>118</v>
      </c>
      <c r="L169" s="7"/>
      <c r="M169" s="5"/>
      <c r="O169" s="51">
        <f>1064.75-300</f>
        <v>764.75</v>
      </c>
      <c r="P169" s="138">
        <f>O169*0.5</f>
        <v>382.375</v>
      </c>
      <c r="Q169" s="139">
        <v>682.37</v>
      </c>
      <c r="R169" s="56">
        <v>42821</v>
      </c>
      <c r="S169" s="64" t="s">
        <v>51</v>
      </c>
      <c r="T169" s="65" t="s">
        <v>260</v>
      </c>
      <c r="U169" s="140">
        <f t="shared" ref="U169:U191" si="92">Q169+P169</f>
        <v>1064.7449999999999</v>
      </c>
      <c r="V169" s="6">
        <f t="shared" si="86"/>
        <v>70</v>
      </c>
      <c r="W169" s="4">
        <f t="shared" si="87"/>
        <v>694.75</v>
      </c>
      <c r="X169" s="6"/>
      <c r="Y169" s="6">
        <f t="shared" si="88"/>
        <v>30</v>
      </c>
      <c r="Z169" s="6">
        <f t="shared" si="89"/>
        <v>664.75</v>
      </c>
    </row>
    <row r="170" spans="1:26" s="4" customFormat="1" ht="15" customHeight="1">
      <c r="A170" s="57"/>
      <c r="B170" s="105"/>
      <c r="C170" s="57"/>
      <c r="D170" s="97"/>
      <c r="E170" s="97">
        <f t="shared" si="90"/>
        <v>0</v>
      </c>
      <c r="F170" s="97">
        <f t="shared" si="91"/>
        <v>1</v>
      </c>
      <c r="G170" s="97"/>
      <c r="H170" s="97"/>
      <c r="I170" s="97"/>
      <c r="J170" s="57"/>
      <c r="K170" s="57" t="s">
        <v>118</v>
      </c>
      <c r="L170" s="7"/>
      <c r="M170" s="5"/>
      <c r="O170" s="51">
        <v>0</v>
      </c>
      <c r="P170" s="6">
        <f>ROUND((O170*0.4),0)</f>
        <v>0</v>
      </c>
      <c r="Q170" s="4">
        <f>IF(O170&gt;0,((O170+300)-P170),0)</f>
        <v>0</v>
      </c>
      <c r="R170" s="56"/>
      <c r="S170" s="3" t="s">
        <v>51</v>
      </c>
      <c r="T170" s="65"/>
      <c r="U170" s="6">
        <f t="shared" si="92"/>
        <v>0</v>
      </c>
      <c r="V170" s="6">
        <f t="shared" si="86"/>
        <v>0</v>
      </c>
      <c r="W170" s="4">
        <f t="shared" si="87"/>
        <v>0</v>
      </c>
      <c r="X170" s="6"/>
      <c r="Y170" s="6">
        <f t="shared" si="88"/>
        <v>0</v>
      </c>
      <c r="Z170" s="6">
        <f t="shared" si="89"/>
        <v>0</v>
      </c>
    </row>
    <row r="171" spans="1:26" s="4" customFormat="1" ht="15.6">
      <c r="A171" s="57"/>
      <c r="B171" s="121" t="s">
        <v>500</v>
      </c>
      <c r="C171" s="4" t="s">
        <v>499</v>
      </c>
      <c r="D171" s="97" t="s">
        <v>214</v>
      </c>
      <c r="E171" s="97">
        <f t="shared" si="90"/>
        <v>0</v>
      </c>
      <c r="F171" s="97">
        <f t="shared" si="91"/>
        <v>1</v>
      </c>
      <c r="G171" s="97" t="s">
        <v>498</v>
      </c>
      <c r="H171" s="97">
        <v>8</v>
      </c>
      <c r="I171" s="97"/>
      <c r="J171" s="58" t="s">
        <v>501</v>
      </c>
      <c r="K171" s="57" t="s">
        <v>118</v>
      </c>
      <c r="L171" s="7"/>
      <c r="M171" s="5"/>
      <c r="O171" s="51">
        <v>967.16</v>
      </c>
      <c r="P171" s="6">
        <v>483.58</v>
      </c>
      <c r="Q171" s="4">
        <f>IF(O171&gt;0,((O171+300)-P171),0)</f>
        <v>783.57999999999993</v>
      </c>
      <c r="R171" s="56">
        <v>42473</v>
      </c>
      <c r="S171" s="3" t="s">
        <v>51</v>
      </c>
      <c r="T171" s="65" t="s">
        <v>21</v>
      </c>
      <c r="U171" s="6">
        <f t="shared" si="92"/>
        <v>1267.1599999999999</v>
      </c>
      <c r="V171" s="6">
        <f t="shared" si="86"/>
        <v>70</v>
      </c>
      <c r="W171" s="4">
        <f t="shared" si="87"/>
        <v>897.16</v>
      </c>
      <c r="X171" s="6"/>
      <c r="Y171" s="6">
        <f t="shared" si="88"/>
        <v>30</v>
      </c>
      <c r="Z171" s="6">
        <f t="shared" si="89"/>
        <v>867.16</v>
      </c>
    </row>
    <row r="172" spans="1:26" s="4" customFormat="1">
      <c r="A172" s="57" t="s">
        <v>511</v>
      </c>
      <c r="B172" s="103" t="s">
        <v>55</v>
      </c>
      <c r="C172" s="57"/>
      <c r="D172" s="97" t="s">
        <v>27</v>
      </c>
      <c r="E172" s="97">
        <f t="shared" si="90"/>
        <v>0</v>
      </c>
      <c r="F172" s="97">
        <f t="shared" si="91"/>
        <v>1</v>
      </c>
      <c r="G172" s="97" t="s">
        <v>512</v>
      </c>
      <c r="H172" s="97">
        <v>13</v>
      </c>
      <c r="I172" s="97"/>
      <c r="J172" s="57" t="s">
        <v>513</v>
      </c>
      <c r="K172" s="57" t="s">
        <v>118</v>
      </c>
      <c r="L172" s="7"/>
      <c r="M172" s="5"/>
      <c r="O172" s="51">
        <v>0</v>
      </c>
      <c r="P172" s="6">
        <f>ROUND((O172*0.4),0)</f>
        <v>0</v>
      </c>
      <c r="Q172" s="4">
        <f>IF(O172&gt;0,((O172+300)-P172),0)</f>
        <v>0</v>
      </c>
      <c r="R172" s="8"/>
      <c r="S172" s="3" t="s">
        <v>51</v>
      </c>
      <c r="T172" s="65"/>
      <c r="U172" s="6">
        <f t="shared" si="92"/>
        <v>0</v>
      </c>
      <c r="V172" s="6">
        <f t="shared" si="86"/>
        <v>70</v>
      </c>
      <c r="W172" s="4">
        <f t="shared" si="87"/>
        <v>-70</v>
      </c>
      <c r="X172" s="6"/>
      <c r="Y172" s="6">
        <f t="shared" si="88"/>
        <v>30</v>
      </c>
      <c r="Z172" s="6">
        <f t="shared" si="89"/>
        <v>-100</v>
      </c>
    </row>
    <row r="173" spans="1:26" s="4" customFormat="1">
      <c r="A173" s="57"/>
      <c r="B173" s="58" t="s">
        <v>503</v>
      </c>
      <c r="C173" s="4" t="s">
        <v>504</v>
      </c>
      <c r="D173" s="97"/>
      <c r="E173" s="97">
        <f t="shared" si="90"/>
        <v>0</v>
      </c>
      <c r="F173" s="97">
        <f t="shared" si="91"/>
        <v>1</v>
      </c>
      <c r="G173" s="97" t="s">
        <v>502</v>
      </c>
      <c r="H173" s="97">
        <v>14</v>
      </c>
      <c r="I173" s="97"/>
      <c r="J173" s="57" t="s">
        <v>359</v>
      </c>
      <c r="K173" s="57" t="s">
        <v>118</v>
      </c>
      <c r="L173" s="7"/>
      <c r="M173" s="5"/>
      <c r="O173" s="51">
        <v>2035.43</v>
      </c>
      <c r="P173" s="136">
        <f>ROUND((O173*0.5),0)</f>
        <v>1018</v>
      </c>
      <c r="Q173" s="4">
        <f>IF(O173&gt;0,((O173+300)-P173),0)</f>
        <v>1317.4300000000003</v>
      </c>
      <c r="R173" s="56">
        <v>42512</v>
      </c>
      <c r="S173" s="3" t="s">
        <v>51</v>
      </c>
      <c r="T173" s="65" t="s">
        <v>21</v>
      </c>
      <c r="U173" s="6">
        <f t="shared" si="92"/>
        <v>2335.4300000000003</v>
      </c>
      <c r="V173" s="6">
        <f t="shared" si="86"/>
        <v>70</v>
      </c>
      <c r="W173" s="4">
        <f t="shared" si="87"/>
        <v>1965.43</v>
      </c>
      <c r="X173" s="6"/>
      <c r="Y173" s="6">
        <f t="shared" si="88"/>
        <v>30</v>
      </c>
      <c r="Z173" s="6">
        <f t="shared" si="89"/>
        <v>1935.43</v>
      </c>
    </row>
    <row r="174" spans="1:26" s="4" customFormat="1">
      <c r="A174" s="57"/>
      <c r="B174" s="57" t="s">
        <v>550</v>
      </c>
      <c r="C174" s="4" t="s">
        <v>551</v>
      </c>
      <c r="D174" s="97"/>
      <c r="E174" s="97">
        <f t="shared" si="90"/>
        <v>0</v>
      </c>
      <c r="F174" s="97">
        <f t="shared" si="91"/>
        <v>1</v>
      </c>
      <c r="G174" s="97" t="s">
        <v>549</v>
      </c>
      <c r="H174" s="97">
        <v>5</v>
      </c>
      <c r="I174" s="97"/>
      <c r="J174" s="57" t="s">
        <v>359</v>
      </c>
      <c r="K174" s="57" t="s">
        <v>118</v>
      </c>
      <c r="L174" s="7"/>
      <c r="M174"/>
      <c r="O174" s="51">
        <v>774.14</v>
      </c>
      <c r="P174" s="136">
        <v>1074.1400000000001</v>
      </c>
      <c r="Q174" s="4">
        <v>0</v>
      </c>
      <c r="R174" s="143" t="s">
        <v>50</v>
      </c>
      <c r="S174" s="3" t="s">
        <v>51</v>
      </c>
      <c r="T174" s="65" t="s">
        <v>554</v>
      </c>
      <c r="U174" s="6">
        <f t="shared" si="92"/>
        <v>1074.1400000000001</v>
      </c>
      <c r="V174" s="6">
        <f t="shared" si="86"/>
        <v>70</v>
      </c>
      <c r="W174" s="4">
        <f t="shared" si="87"/>
        <v>704.14</v>
      </c>
      <c r="X174" s="6"/>
      <c r="Y174" s="6">
        <f t="shared" si="88"/>
        <v>30</v>
      </c>
      <c r="Z174" s="6">
        <f t="shared" si="89"/>
        <v>674.14</v>
      </c>
    </row>
    <row r="175" spans="1:26" s="4" customFormat="1" ht="15.6">
      <c r="A175" s="57"/>
      <c r="B175" s="105" t="s">
        <v>413</v>
      </c>
      <c r="C175" s="4" t="s">
        <v>414</v>
      </c>
      <c r="D175" s="97" t="s">
        <v>494</v>
      </c>
      <c r="E175" s="97">
        <v>0</v>
      </c>
      <c r="F175" s="97">
        <v>1</v>
      </c>
      <c r="G175" s="97" t="s">
        <v>495</v>
      </c>
      <c r="H175" s="97">
        <v>14</v>
      </c>
      <c r="I175" s="97"/>
      <c r="J175" s="58" t="s">
        <v>249</v>
      </c>
      <c r="K175" s="57" t="s">
        <v>118</v>
      </c>
      <c r="L175" s="7"/>
      <c r="M175" s="5"/>
      <c r="O175" s="51">
        <v>1913</v>
      </c>
      <c r="P175" s="6">
        <f>ROUND((O175*0.4),0)</f>
        <v>765</v>
      </c>
      <c r="Q175" s="4">
        <f>IF(O175&gt;0,((O175+300)-P175),0)</f>
        <v>1448</v>
      </c>
      <c r="R175" s="56">
        <v>42520</v>
      </c>
      <c r="S175" s="3" t="s">
        <v>51</v>
      </c>
      <c r="T175" s="59" t="s">
        <v>21</v>
      </c>
      <c r="U175" s="6">
        <f t="shared" si="92"/>
        <v>2213</v>
      </c>
      <c r="V175" s="6">
        <f t="shared" si="86"/>
        <v>70</v>
      </c>
      <c r="W175" s="4">
        <f t="shared" si="87"/>
        <v>1843</v>
      </c>
      <c r="X175" s="6"/>
      <c r="Y175" s="6">
        <f t="shared" si="88"/>
        <v>30</v>
      </c>
      <c r="Z175" s="6">
        <f t="shared" si="89"/>
        <v>1813</v>
      </c>
    </row>
    <row r="176" spans="1:26" s="4" customFormat="1" ht="15.6">
      <c r="B176" s="105" t="s">
        <v>534</v>
      </c>
      <c r="C176" s="4" t="s">
        <v>533</v>
      </c>
      <c r="D176" s="97" t="s">
        <v>53</v>
      </c>
      <c r="E176" s="97">
        <f t="shared" ref="E176:E191" si="93">IF(D176=$B$11,H176,0)</f>
        <v>0</v>
      </c>
      <c r="F176" s="97">
        <f t="shared" ref="F176:F191" si="94">IF(E176&gt;0,0,1)</f>
        <v>1</v>
      </c>
      <c r="G176" s="97" t="s">
        <v>532</v>
      </c>
      <c r="H176" s="97">
        <v>7</v>
      </c>
      <c r="I176" s="97"/>
      <c r="J176" s="58" t="s">
        <v>359</v>
      </c>
      <c r="K176" s="57" t="s">
        <v>118</v>
      </c>
      <c r="L176" s="7"/>
      <c r="M176" s="5"/>
      <c r="O176" s="51">
        <f>1149.08-85.36</f>
        <v>1063.72</v>
      </c>
      <c r="P176" s="136">
        <f>O176*0.5</f>
        <v>531.86</v>
      </c>
      <c r="Q176" s="4">
        <f>IF(O176&gt;0,((O176+300)-P176),0)</f>
        <v>831.86</v>
      </c>
      <c r="R176" s="56">
        <v>42895</v>
      </c>
      <c r="S176" s="3" t="s">
        <v>51</v>
      </c>
      <c r="T176" s="59" t="s">
        <v>21</v>
      </c>
      <c r="U176" s="6">
        <f t="shared" si="92"/>
        <v>1363.72</v>
      </c>
      <c r="V176" s="6">
        <f t="shared" si="86"/>
        <v>70</v>
      </c>
      <c r="W176" s="4">
        <f t="shared" si="87"/>
        <v>993.72</v>
      </c>
      <c r="X176" s="6"/>
      <c r="Y176" s="6">
        <f t="shared" si="88"/>
        <v>30</v>
      </c>
      <c r="Z176" s="6">
        <f t="shared" si="89"/>
        <v>963.72</v>
      </c>
    </row>
    <row r="177" spans="2:26" s="4" customFormat="1">
      <c r="B177" s="57" t="s">
        <v>545</v>
      </c>
      <c r="C177" s="4" t="s">
        <v>553</v>
      </c>
      <c r="D177" s="97" t="s">
        <v>53</v>
      </c>
      <c r="E177" s="97">
        <f t="shared" si="93"/>
        <v>0</v>
      </c>
      <c r="F177" s="97">
        <f t="shared" si="94"/>
        <v>1</v>
      </c>
      <c r="G177" s="97" t="s">
        <v>496</v>
      </c>
      <c r="H177" s="97">
        <v>14</v>
      </c>
      <c r="I177" s="97"/>
      <c r="J177" s="58" t="s">
        <v>528</v>
      </c>
      <c r="K177" s="57" t="s">
        <v>118</v>
      </c>
      <c r="L177" s="7"/>
      <c r="M177" s="5"/>
      <c r="O177" s="51">
        <v>2155.0100000000002</v>
      </c>
      <c r="P177" s="6">
        <v>1137.3</v>
      </c>
      <c r="Q177">
        <v>1291.1300000000001</v>
      </c>
      <c r="R177" s="8">
        <v>42511</v>
      </c>
      <c r="S177" s="3" t="s">
        <v>51</v>
      </c>
      <c r="T177" s="59" t="s">
        <v>260</v>
      </c>
      <c r="U177" s="6">
        <f t="shared" si="92"/>
        <v>2428.4300000000003</v>
      </c>
      <c r="V177" s="6">
        <f t="shared" si="86"/>
        <v>70</v>
      </c>
      <c r="W177" s="4">
        <f t="shared" si="87"/>
        <v>2085.0100000000002</v>
      </c>
      <c r="X177" s="6"/>
      <c r="Y177" s="6">
        <f t="shared" si="88"/>
        <v>30</v>
      </c>
      <c r="Z177" s="6">
        <f t="shared" si="89"/>
        <v>2055.0100000000002</v>
      </c>
    </row>
    <row r="178" spans="2:26" s="4" customFormat="1" ht="15.6">
      <c r="B178" s="121"/>
      <c r="D178" s="97"/>
      <c r="E178" s="97">
        <f t="shared" si="93"/>
        <v>0</v>
      </c>
      <c r="F178" s="97">
        <f t="shared" si="94"/>
        <v>1</v>
      </c>
      <c r="G178" s="97"/>
      <c r="H178" s="97"/>
      <c r="I178" s="97"/>
      <c r="J178" s="57"/>
      <c r="K178" s="57" t="s">
        <v>118</v>
      </c>
      <c r="L178" s="7"/>
      <c r="M178" s="5"/>
      <c r="O178" s="51">
        <v>0</v>
      </c>
      <c r="P178" s="6">
        <f>ROUND((O178*0.4),0)</f>
        <v>0</v>
      </c>
      <c r="Q178" s="4">
        <f t="shared" ref="Q178:Q183" si="95">IF(O178&gt;0,((O178+300)-P178),0)</f>
        <v>0</v>
      </c>
      <c r="R178" s="56"/>
      <c r="S178" s="3" t="s">
        <v>51</v>
      </c>
      <c r="T178" s="59"/>
      <c r="U178" s="6">
        <f t="shared" si="92"/>
        <v>0</v>
      </c>
      <c r="V178" s="6">
        <f t="shared" si="86"/>
        <v>0</v>
      </c>
      <c r="W178" s="4">
        <f t="shared" si="87"/>
        <v>0</v>
      </c>
      <c r="X178" s="6"/>
      <c r="Y178" s="6">
        <f t="shared" si="88"/>
        <v>0</v>
      </c>
      <c r="Z178" s="6">
        <f t="shared" si="89"/>
        <v>0</v>
      </c>
    </row>
    <row r="179" spans="2:26" s="4" customFormat="1" ht="15.6">
      <c r="B179" s="120" t="s">
        <v>433</v>
      </c>
      <c r="C179" s="4" t="s">
        <v>248</v>
      </c>
      <c r="D179" s="97" t="s">
        <v>53</v>
      </c>
      <c r="E179" s="97">
        <f t="shared" si="93"/>
        <v>0</v>
      </c>
      <c r="F179" s="97">
        <f t="shared" si="94"/>
        <v>1</v>
      </c>
      <c r="G179" s="97" t="s">
        <v>470</v>
      </c>
      <c r="H179" s="97">
        <v>9</v>
      </c>
      <c r="I179" s="97"/>
      <c r="J179" s="58" t="s">
        <v>231</v>
      </c>
      <c r="K179" s="57" t="s">
        <v>118</v>
      </c>
      <c r="L179" s="59"/>
      <c r="M179" s="60"/>
      <c r="N179" s="57"/>
      <c r="O179" s="51">
        <v>717</v>
      </c>
      <c r="P179" s="6">
        <v>300</v>
      </c>
      <c r="Q179" s="4">
        <f t="shared" si="95"/>
        <v>717</v>
      </c>
      <c r="R179" s="56">
        <v>42559</v>
      </c>
      <c r="S179" s="3" t="s">
        <v>51</v>
      </c>
      <c r="T179" s="110" t="s">
        <v>552</v>
      </c>
      <c r="U179" s="6">
        <f t="shared" si="92"/>
        <v>1017</v>
      </c>
      <c r="V179" s="6">
        <f t="shared" si="86"/>
        <v>70</v>
      </c>
      <c r="W179" s="4">
        <f t="shared" si="87"/>
        <v>647</v>
      </c>
      <c r="X179" s="6"/>
      <c r="Y179" s="6">
        <f t="shared" si="88"/>
        <v>30</v>
      </c>
      <c r="Z179" s="6">
        <f t="shared" si="89"/>
        <v>617</v>
      </c>
    </row>
    <row r="180" spans="2:26" s="4" customFormat="1" ht="15.6">
      <c r="B180" s="121"/>
      <c r="C180" s="57"/>
      <c r="D180" s="58"/>
      <c r="E180" s="57">
        <f t="shared" si="93"/>
        <v>0</v>
      </c>
      <c r="F180" s="57">
        <f t="shared" si="94"/>
        <v>1</v>
      </c>
      <c r="G180" s="97"/>
      <c r="H180" s="97"/>
      <c r="I180" s="15"/>
      <c r="J180" s="57"/>
      <c r="K180" s="57" t="s">
        <v>118</v>
      </c>
      <c r="L180" s="7"/>
      <c r="M180" s="5"/>
      <c r="O180" s="51">
        <v>0</v>
      </c>
      <c r="P180" s="6">
        <f>ROUND((O180*0.4),0)</f>
        <v>0</v>
      </c>
      <c r="Q180" s="4">
        <f t="shared" si="95"/>
        <v>0</v>
      </c>
      <c r="R180" s="56"/>
      <c r="S180" s="3" t="s">
        <v>51</v>
      </c>
      <c r="T180" s="59"/>
      <c r="U180" s="6">
        <f t="shared" si="92"/>
        <v>0</v>
      </c>
      <c r="V180" s="6">
        <f t="shared" si="86"/>
        <v>0</v>
      </c>
      <c r="W180" s="4">
        <f t="shared" si="87"/>
        <v>0</v>
      </c>
      <c r="X180" s="6"/>
      <c r="Y180" s="6">
        <f t="shared" si="88"/>
        <v>0</v>
      </c>
      <c r="Z180" s="6">
        <f t="shared" si="89"/>
        <v>0</v>
      </c>
    </row>
    <row r="181" spans="2:26" s="4" customFormat="1" ht="15.6">
      <c r="B181" s="105" t="s">
        <v>510</v>
      </c>
      <c r="C181" s="126" t="s">
        <v>509</v>
      </c>
      <c r="D181" s="97" t="s">
        <v>53</v>
      </c>
      <c r="E181" s="97">
        <f t="shared" si="93"/>
        <v>0</v>
      </c>
      <c r="F181" s="97">
        <f t="shared" si="94"/>
        <v>1</v>
      </c>
      <c r="G181" s="97" t="s">
        <v>508</v>
      </c>
      <c r="H181" s="97">
        <v>13</v>
      </c>
      <c r="I181" s="97"/>
      <c r="J181" s="57" t="s">
        <v>205</v>
      </c>
      <c r="K181" s="57" t="s">
        <v>118</v>
      </c>
      <c r="L181" s="7"/>
      <c r="M181" s="5"/>
      <c r="O181" s="51">
        <v>1309.3800000000001</v>
      </c>
      <c r="P181" s="136">
        <f>O181*0.5</f>
        <v>654.69000000000005</v>
      </c>
      <c r="Q181" s="4">
        <f t="shared" si="95"/>
        <v>954.69</v>
      </c>
      <c r="R181" s="56">
        <v>42569</v>
      </c>
      <c r="S181" s="3" t="s">
        <v>51</v>
      </c>
      <c r="T181" s="59" t="s">
        <v>21</v>
      </c>
      <c r="U181" s="6">
        <f t="shared" si="92"/>
        <v>1609.38</v>
      </c>
      <c r="V181" s="6">
        <f t="shared" si="86"/>
        <v>70</v>
      </c>
      <c r="W181" s="4">
        <f t="shared" si="87"/>
        <v>1239.3800000000001</v>
      </c>
      <c r="X181" s="6"/>
      <c r="Y181" s="6">
        <f t="shared" si="88"/>
        <v>30</v>
      </c>
      <c r="Z181" s="6">
        <f t="shared" si="89"/>
        <v>1209.3800000000001</v>
      </c>
    </row>
    <row r="182" spans="2:26" s="4" customFormat="1">
      <c r="B182" s="57" t="s">
        <v>558</v>
      </c>
      <c r="C182" s="126" t="s">
        <v>559</v>
      </c>
      <c r="D182" s="97" t="s">
        <v>53</v>
      </c>
      <c r="E182" s="97">
        <f t="shared" si="93"/>
        <v>0</v>
      </c>
      <c r="F182" s="97">
        <f t="shared" si="94"/>
        <v>1</v>
      </c>
      <c r="G182" s="97" t="s">
        <v>560</v>
      </c>
      <c r="H182" s="97">
        <v>9</v>
      </c>
      <c r="I182" s="97"/>
      <c r="J182" s="58" t="s">
        <v>561</v>
      </c>
      <c r="K182" s="57" t="s">
        <v>118</v>
      </c>
      <c r="L182" s="7"/>
      <c r="M182" s="5"/>
      <c r="O182" s="51">
        <v>742.26</v>
      </c>
      <c r="P182" s="6">
        <v>0</v>
      </c>
      <c r="Q182" s="4">
        <f t="shared" si="95"/>
        <v>1042.26</v>
      </c>
      <c r="R182" s="142" t="s">
        <v>50</v>
      </c>
      <c r="S182" s="3" t="s">
        <v>51</v>
      </c>
      <c r="T182" s="59" t="s">
        <v>389</v>
      </c>
      <c r="U182" s="6">
        <f t="shared" si="92"/>
        <v>1042.26</v>
      </c>
      <c r="V182" s="6">
        <f t="shared" si="86"/>
        <v>70</v>
      </c>
      <c r="W182" s="4">
        <f t="shared" si="87"/>
        <v>672.26</v>
      </c>
      <c r="X182" s="6"/>
      <c r="Y182" s="6">
        <f t="shared" si="88"/>
        <v>30</v>
      </c>
      <c r="Z182" s="6">
        <f t="shared" si="89"/>
        <v>642.26</v>
      </c>
    </row>
    <row r="183" spans="2:26" s="4" customFormat="1" ht="15.6">
      <c r="B183" s="120" t="s">
        <v>537</v>
      </c>
      <c r="C183" s="126" t="s">
        <v>536</v>
      </c>
      <c r="D183" s="97" t="s">
        <v>53</v>
      </c>
      <c r="E183" s="97">
        <f t="shared" si="93"/>
        <v>0</v>
      </c>
      <c r="F183" s="97">
        <f t="shared" si="94"/>
        <v>1</v>
      </c>
      <c r="G183" s="97" t="s">
        <v>535</v>
      </c>
      <c r="H183" s="97">
        <v>7</v>
      </c>
      <c r="I183" s="97"/>
      <c r="J183" s="58" t="s">
        <v>359</v>
      </c>
      <c r="K183" s="57" t="s">
        <v>118</v>
      </c>
      <c r="L183" s="59"/>
      <c r="M183" s="60"/>
      <c r="N183" s="57"/>
      <c r="O183" s="51">
        <v>609.53</v>
      </c>
      <c r="P183" s="136">
        <f>O183*0.5</f>
        <v>304.76499999999999</v>
      </c>
      <c r="Q183" s="4">
        <f t="shared" si="95"/>
        <v>604.76499999999999</v>
      </c>
      <c r="R183" s="96">
        <v>42962</v>
      </c>
      <c r="S183" s="3" t="s">
        <v>51</v>
      </c>
      <c r="T183" s="65" t="s">
        <v>21</v>
      </c>
      <c r="U183" s="6">
        <f t="shared" si="92"/>
        <v>909.53</v>
      </c>
      <c r="V183" s="6">
        <f t="shared" si="86"/>
        <v>70</v>
      </c>
      <c r="W183" s="4">
        <f t="shared" si="87"/>
        <v>539.53</v>
      </c>
      <c r="X183" s="6"/>
      <c r="Y183" s="6">
        <f t="shared" si="88"/>
        <v>30</v>
      </c>
      <c r="Z183" s="6">
        <f t="shared" si="89"/>
        <v>509.53</v>
      </c>
    </row>
    <row r="184" spans="2:26" s="4" customFormat="1" ht="15" customHeight="1">
      <c r="B184" s="121" t="s">
        <v>527</v>
      </c>
      <c r="C184" s="126" t="s">
        <v>525</v>
      </c>
      <c r="D184" s="97" t="s">
        <v>53</v>
      </c>
      <c r="E184" s="97">
        <f t="shared" si="93"/>
        <v>0</v>
      </c>
      <c r="F184" s="97">
        <f t="shared" si="94"/>
        <v>1</v>
      </c>
      <c r="G184" s="97" t="s">
        <v>566</v>
      </c>
      <c r="H184" s="97">
        <v>7</v>
      </c>
      <c r="I184" s="97"/>
      <c r="J184" s="58" t="s">
        <v>526</v>
      </c>
      <c r="K184" s="57" t="s">
        <v>118</v>
      </c>
      <c r="L184" s="7"/>
      <c r="M184" s="145">
        <f>O184/7*11</f>
        <v>737.34571428571439</v>
      </c>
      <c r="O184" s="51">
        <f>234.61+534.61-300</f>
        <v>469.22</v>
      </c>
      <c r="P184" s="6">
        <v>234.61</v>
      </c>
      <c r="Q184" s="4">
        <f>IF(O184&gt;0,((O184+300+268.13)-P184),0)</f>
        <v>802.7399999999999</v>
      </c>
      <c r="R184" s="56">
        <v>42667</v>
      </c>
      <c r="S184" s="3" t="s">
        <v>51</v>
      </c>
      <c r="T184" s="59" t="s">
        <v>21</v>
      </c>
      <c r="U184" s="6">
        <f t="shared" si="92"/>
        <v>1037.3499999999999</v>
      </c>
      <c r="V184" s="6">
        <f t="shared" si="86"/>
        <v>70</v>
      </c>
      <c r="W184" s="4">
        <f t="shared" si="87"/>
        <v>399.22</v>
      </c>
      <c r="X184" s="6"/>
      <c r="Y184" s="6">
        <f t="shared" si="88"/>
        <v>30</v>
      </c>
      <c r="Z184" s="6">
        <f t="shared" si="89"/>
        <v>369.22</v>
      </c>
    </row>
    <row r="185" spans="2:26" s="4" customFormat="1" ht="15.6">
      <c r="B185" s="121"/>
      <c r="C185" s="57"/>
      <c r="D185" s="97"/>
      <c r="E185" s="97">
        <f t="shared" si="93"/>
        <v>0</v>
      </c>
      <c r="F185" s="97">
        <f t="shared" si="94"/>
        <v>1</v>
      </c>
      <c r="G185" s="97"/>
      <c r="H185" s="97"/>
      <c r="I185" s="97"/>
      <c r="J185" s="58"/>
      <c r="K185" s="57" t="s">
        <v>118</v>
      </c>
      <c r="L185" s="7"/>
      <c r="M185" s="145">
        <f>M184-O184</f>
        <v>268.12571428571437</v>
      </c>
      <c r="O185" s="51">
        <v>0</v>
      </c>
      <c r="P185" s="6">
        <f>ROUND((O185*0.4),0)</f>
        <v>0</v>
      </c>
      <c r="Q185" s="4">
        <f>IF(O185&gt;0,((O185+300)-P185),0)</f>
        <v>0</v>
      </c>
      <c r="R185" s="8"/>
      <c r="S185" s="3" t="s">
        <v>51</v>
      </c>
      <c r="T185" s="59"/>
      <c r="U185" s="6">
        <f t="shared" si="92"/>
        <v>0</v>
      </c>
      <c r="V185" s="6">
        <f t="shared" si="86"/>
        <v>0</v>
      </c>
      <c r="W185" s="4">
        <f t="shared" si="87"/>
        <v>0</v>
      </c>
      <c r="X185" s="6"/>
      <c r="Y185" s="6">
        <f t="shared" si="88"/>
        <v>0</v>
      </c>
      <c r="Z185" s="6">
        <f t="shared" si="89"/>
        <v>0</v>
      </c>
    </row>
    <row r="186" spans="2:26" s="4" customFormat="1" ht="27" customHeight="1">
      <c r="B186" s="131">
        <v>2018</v>
      </c>
      <c r="D186" s="97"/>
      <c r="E186" s="97">
        <f t="shared" si="93"/>
        <v>0</v>
      </c>
      <c r="F186" s="97">
        <f t="shared" si="94"/>
        <v>1</v>
      </c>
      <c r="G186" s="97"/>
      <c r="H186" s="97"/>
      <c r="I186" s="97"/>
      <c r="J186" s="58"/>
      <c r="K186" s="57" t="s">
        <v>118</v>
      </c>
      <c r="L186" s="59"/>
      <c r="M186" s="145">
        <f>Q184+M185</f>
        <v>1070.8657142857141</v>
      </c>
      <c r="N186" s="57"/>
      <c r="O186" s="51">
        <v>0</v>
      </c>
      <c r="P186" s="6">
        <f>ROUND((O186*0.4),0)</f>
        <v>0</v>
      </c>
      <c r="Q186" s="57">
        <f>IF(O186&gt;0,((O186+300)-P186),0)</f>
        <v>0</v>
      </c>
      <c r="R186" s="56"/>
      <c r="S186" s="3" t="s">
        <v>51</v>
      </c>
      <c r="T186" s="59"/>
      <c r="U186" s="6">
        <f t="shared" si="92"/>
        <v>0</v>
      </c>
      <c r="V186" s="6">
        <f t="shared" si="86"/>
        <v>0</v>
      </c>
      <c r="W186" s="4">
        <f t="shared" si="87"/>
        <v>0</v>
      </c>
      <c r="X186" s="6"/>
      <c r="Y186" s="6">
        <f t="shared" si="88"/>
        <v>0</v>
      </c>
      <c r="Z186" s="6">
        <f t="shared" si="89"/>
        <v>0</v>
      </c>
    </row>
    <row r="187" spans="2:26" s="4" customFormat="1">
      <c r="B187" s="57" t="s">
        <v>542</v>
      </c>
      <c r="C187" s="57" t="s">
        <v>584</v>
      </c>
      <c r="D187" s="97" t="s">
        <v>53</v>
      </c>
      <c r="E187" s="97">
        <f t="shared" si="93"/>
        <v>0</v>
      </c>
      <c r="F187" s="97">
        <f t="shared" si="94"/>
        <v>1</v>
      </c>
      <c r="G187" s="97" t="s">
        <v>541</v>
      </c>
      <c r="H187" s="97"/>
      <c r="I187" s="97"/>
      <c r="J187" s="58" t="s">
        <v>216</v>
      </c>
      <c r="K187" s="57" t="s">
        <v>118</v>
      </c>
      <c r="L187" s="7"/>
      <c r="M187" s="5"/>
      <c r="O187" s="51">
        <f>1283.36-107</f>
        <v>1176.3599999999999</v>
      </c>
      <c r="P187" s="6">
        <f>O187*0.5</f>
        <v>588.17999999999995</v>
      </c>
      <c r="Q187" s="4">
        <f>IF(O187&gt;0,((O187+300)-P187),0)</f>
        <v>888.18</v>
      </c>
      <c r="R187" s="56">
        <v>43049</v>
      </c>
      <c r="S187" s="3" t="s">
        <v>51</v>
      </c>
      <c r="T187" s="137" t="s">
        <v>21</v>
      </c>
      <c r="U187" s="6">
        <f t="shared" si="92"/>
        <v>1476.36</v>
      </c>
      <c r="V187" s="6">
        <f t="shared" si="86"/>
        <v>0</v>
      </c>
      <c r="W187" s="4">
        <f t="shared" si="87"/>
        <v>1176.3599999999999</v>
      </c>
      <c r="X187" s="6"/>
      <c r="Y187" s="6">
        <f t="shared" si="88"/>
        <v>0</v>
      </c>
      <c r="Z187" s="6">
        <f t="shared" si="89"/>
        <v>1176.3599999999999</v>
      </c>
    </row>
    <row r="188" spans="2:26" s="4" customFormat="1" ht="15.6">
      <c r="B188" s="121" t="s">
        <v>555</v>
      </c>
      <c r="C188" s="4" t="s">
        <v>547</v>
      </c>
      <c r="D188" s="97" t="s">
        <v>53</v>
      </c>
      <c r="E188" s="97">
        <f t="shared" si="93"/>
        <v>0</v>
      </c>
      <c r="F188" s="97">
        <f t="shared" si="94"/>
        <v>1</v>
      </c>
      <c r="G188" s="97" t="s">
        <v>546</v>
      </c>
      <c r="H188" s="97">
        <v>27</v>
      </c>
      <c r="I188" s="97"/>
      <c r="J188" s="58" t="s">
        <v>231</v>
      </c>
      <c r="K188" s="57" t="s">
        <v>118</v>
      </c>
      <c r="L188" s="7"/>
      <c r="M188" s="5"/>
      <c r="O188" s="51">
        <v>1422.8</v>
      </c>
      <c r="P188" s="6">
        <v>711.4</v>
      </c>
      <c r="Q188" s="4">
        <f>IF(O188&gt;0,((O188+300)-P188),0)</f>
        <v>1011.4</v>
      </c>
      <c r="R188" s="146" t="s">
        <v>570</v>
      </c>
      <c r="S188" s="3" t="s">
        <v>51</v>
      </c>
      <c r="T188" s="59" t="s">
        <v>21</v>
      </c>
      <c r="U188" s="6">
        <f t="shared" si="92"/>
        <v>1722.8</v>
      </c>
      <c r="V188" s="6">
        <f t="shared" si="86"/>
        <v>70</v>
      </c>
      <c r="W188" s="4">
        <f t="shared" si="87"/>
        <v>1352.8</v>
      </c>
      <c r="X188" s="6"/>
      <c r="Y188" s="6">
        <f t="shared" si="88"/>
        <v>30</v>
      </c>
      <c r="Z188" s="6">
        <f t="shared" si="89"/>
        <v>1322.8</v>
      </c>
    </row>
    <row r="189" spans="2:26" s="4" customFormat="1">
      <c r="B189" s="57" t="s">
        <v>598</v>
      </c>
      <c r="C189" s="116" t="s">
        <v>464</v>
      </c>
      <c r="D189" s="97"/>
      <c r="E189" s="97">
        <f t="shared" si="93"/>
        <v>0</v>
      </c>
      <c r="F189" s="97">
        <f t="shared" si="94"/>
        <v>1</v>
      </c>
      <c r="G189" s="97" t="s">
        <v>463</v>
      </c>
      <c r="H189" s="97">
        <v>30</v>
      </c>
      <c r="I189" s="97"/>
      <c r="J189" s="57" t="s">
        <v>205</v>
      </c>
      <c r="K189" s="57" t="s">
        <v>118</v>
      </c>
      <c r="L189" s="7"/>
      <c r="M189" s="5"/>
      <c r="O189" s="51">
        <v>1682</v>
      </c>
      <c r="P189" s="6">
        <f>ROUND((O189*0.4),0)</f>
        <v>673</v>
      </c>
      <c r="Q189" s="4">
        <f>IF(O189&gt;0,((O189+300)-P189),0)</f>
        <v>1309</v>
      </c>
      <c r="R189" s="142" t="s">
        <v>548</v>
      </c>
      <c r="S189" s="3" t="s">
        <v>51</v>
      </c>
      <c r="T189" s="57" t="s">
        <v>21</v>
      </c>
      <c r="U189" s="6">
        <f t="shared" si="92"/>
        <v>1982</v>
      </c>
      <c r="V189" s="6">
        <f t="shared" si="86"/>
        <v>70</v>
      </c>
      <c r="W189" s="4">
        <f t="shared" si="87"/>
        <v>1612</v>
      </c>
      <c r="X189" s="6"/>
      <c r="Y189" s="6">
        <f t="shared" si="88"/>
        <v>30</v>
      </c>
      <c r="Z189" s="6">
        <f t="shared" si="89"/>
        <v>1582</v>
      </c>
    </row>
    <row r="190" spans="2:26" s="4" customFormat="1" ht="15.6">
      <c r="B190" s="120" t="s">
        <v>543</v>
      </c>
      <c r="C190" s="57" t="s">
        <v>540</v>
      </c>
      <c r="D190" s="58" t="s">
        <v>253</v>
      </c>
      <c r="E190" s="57">
        <f t="shared" si="93"/>
        <v>0</v>
      </c>
      <c r="F190" s="57">
        <f t="shared" si="94"/>
        <v>1</v>
      </c>
      <c r="G190" s="97" t="s">
        <v>539</v>
      </c>
      <c r="H190" s="58">
        <v>35</v>
      </c>
      <c r="I190" s="58"/>
      <c r="J190" s="58" t="s">
        <v>205</v>
      </c>
      <c r="K190" s="57" t="s">
        <v>118</v>
      </c>
      <c r="L190" s="59"/>
      <c r="M190" s="60"/>
      <c r="N190" s="57"/>
      <c r="O190" s="51">
        <f>1956.75-146</f>
        <v>1810.75</v>
      </c>
      <c r="P190" s="140">
        <f>O190*0.5</f>
        <v>905.375</v>
      </c>
      <c r="Q190" s="141">
        <f>IF(O190&gt;0,((O190+300)-P190-51.74),0)</f>
        <v>1153.635</v>
      </c>
      <c r="R190" s="142" t="s">
        <v>597</v>
      </c>
      <c r="S190" s="3" t="s">
        <v>51</v>
      </c>
      <c r="T190" s="59" t="s">
        <v>626</v>
      </c>
      <c r="U190" s="6">
        <f t="shared" si="92"/>
        <v>2059.0100000000002</v>
      </c>
      <c r="V190" s="6">
        <f t="shared" si="86"/>
        <v>70</v>
      </c>
      <c r="W190" s="4">
        <f t="shared" si="87"/>
        <v>1740.75</v>
      </c>
      <c r="X190" s="6"/>
      <c r="Y190" s="6">
        <f t="shared" si="88"/>
        <v>30</v>
      </c>
      <c r="Z190" s="6">
        <f t="shared" si="89"/>
        <v>1710.75</v>
      </c>
    </row>
    <row r="191" spans="2:26" s="4" customFormat="1">
      <c r="B191" s="154" t="s">
        <v>585</v>
      </c>
      <c r="C191" s="116" t="s">
        <v>586</v>
      </c>
      <c r="D191" s="97" t="s">
        <v>53</v>
      </c>
      <c r="E191" s="97">
        <f t="shared" si="93"/>
        <v>0</v>
      </c>
      <c r="F191" s="97">
        <f t="shared" si="94"/>
        <v>1</v>
      </c>
      <c r="G191" s="97" t="s">
        <v>587</v>
      </c>
      <c r="H191" s="97">
        <v>12</v>
      </c>
      <c r="I191" s="97"/>
      <c r="J191" s="58" t="s">
        <v>216</v>
      </c>
      <c r="K191" s="57" t="s">
        <v>118</v>
      </c>
      <c r="L191" s="7"/>
      <c r="M191" s="5"/>
      <c r="O191" s="51">
        <f>1510.23-126</f>
        <v>1384.23</v>
      </c>
      <c r="P191" s="6">
        <v>692.12</v>
      </c>
      <c r="Q191" s="4">
        <v>992.11</v>
      </c>
      <c r="R191" s="142" t="s">
        <v>588</v>
      </c>
      <c r="S191" s="3" t="s">
        <v>51</v>
      </c>
      <c r="T191" s="59" t="s">
        <v>149</v>
      </c>
      <c r="U191" s="6">
        <f t="shared" si="92"/>
        <v>1684.23</v>
      </c>
      <c r="V191" s="6">
        <f t="shared" si="86"/>
        <v>70</v>
      </c>
      <c r="W191" s="4">
        <f t="shared" si="87"/>
        <v>1314.23</v>
      </c>
      <c r="X191" s="6"/>
      <c r="Y191" s="6">
        <f t="shared" si="88"/>
        <v>30</v>
      </c>
      <c r="Z191" s="6">
        <f t="shared" si="89"/>
        <v>1284.23</v>
      </c>
    </row>
    <row r="192" spans="2:26" s="4" customFormat="1" ht="18">
      <c r="B192" s="144" t="s">
        <v>567</v>
      </c>
      <c r="C192" s="116" t="s">
        <v>568</v>
      </c>
      <c r="D192" s="97"/>
      <c r="E192" s="97"/>
      <c r="F192" s="97"/>
      <c r="G192" s="97" t="s">
        <v>575</v>
      </c>
      <c r="H192" s="97">
        <v>16</v>
      </c>
      <c r="I192" s="97"/>
      <c r="J192" s="58" t="s">
        <v>216</v>
      </c>
      <c r="K192" s="57" t="s">
        <v>118</v>
      </c>
      <c r="L192" s="7"/>
      <c r="M192" s="5"/>
      <c r="O192" s="51">
        <v>1777</v>
      </c>
      <c r="P192" s="6">
        <v>598</v>
      </c>
      <c r="Q192" s="4">
        <f>(O192-P192)+300</f>
        <v>1479</v>
      </c>
      <c r="R192" s="142" t="s">
        <v>569</v>
      </c>
      <c r="S192" s="3" t="s">
        <v>51</v>
      </c>
      <c r="T192" s="59" t="s">
        <v>21</v>
      </c>
      <c r="U192" s="6">
        <f t="shared" ref="U192:U199" si="96">Q192+P192</f>
        <v>2077</v>
      </c>
      <c r="V192" s="6">
        <f t="shared" ref="V192:V199" si="97">IF(H192&gt;0,70,0)</f>
        <v>70</v>
      </c>
      <c r="W192" s="4">
        <f t="shared" ref="W192:W199" si="98">O192-V192</f>
        <v>1707</v>
      </c>
      <c r="X192" s="6"/>
      <c r="Y192" s="6">
        <f t="shared" ref="Y192:Y199" si="99">IF(H192&gt;0,30*F192,0)</f>
        <v>0</v>
      </c>
      <c r="Z192" s="6">
        <f t="shared" ref="Z192:Z199" si="100">W192-Y192</f>
        <v>1707</v>
      </c>
    </row>
    <row r="193" spans="2:26" s="57" customFormat="1">
      <c r="B193" s="57" t="s">
        <v>625</v>
      </c>
      <c r="C193" s="116" t="s">
        <v>624</v>
      </c>
      <c r="D193" s="97"/>
      <c r="E193" s="97"/>
      <c r="F193" s="97"/>
      <c r="G193" s="97" t="s">
        <v>623</v>
      </c>
      <c r="H193" s="97">
        <v>7</v>
      </c>
      <c r="I193" s="97"/>
      <c r="J193" s="58" t="s">
        <v>409</v>
      </c>
      <c r="K193" s="57" t="s">
        <v>118</v>
      </c>
      <c r="L193" s="59"/>
      <c r="M193" s="60"/>
      <c r="O193" s="61">
        <v>920.66</v>
      </c>
      <c r="P193" s="61">
        <v>307.56</v>
      </c>
      <c r="Q193" s="57">
        <v>705.5</v>
      </c>
      <c r="R193" s="142" t="s">
        <v>50</v>
      </c>
      <c r="S193" s="64" t="s">
        <v>51</v>
      </c>
      <c r="T193" s="59" t="s">
        <v>21</v>
      </c>
      <c r="U193" s="61">
        <v>1220.6600000000001</v>
      </c>
      <c r="V193" s="61">
        <f>IF(H193&gt;0,70,0)</f>
        <v>70</v>
      </c>
      <c r="W193" s="57">
        <f>O193-V193</f>
        <v>850.66</v>
      </c>
      <c r="X193" s="61"/>
      <c r="Y193" s="61">
        <f>IF(H193&gt;0,30*F193,0)</f>
        <v>0</v>
      </c>
      <c r="Z193" s="61">
        <f>W193-Y193</f>
        <v>850.66</v>
      </c>
    </row>
    <row r="194" spans="2:26" s="4" customFormat="1">
      <c r="B194" s="144" t="s">
        <v>571</v>
      </c>
      <c r="C194" s="116" t="s">
        <v>572</v>
      </c>
      <c r="D194" s="97" t="s">
        <v>214</v>
      </c>
      <c r="E194" s="97"/>
      <c r="F194" s="97"/>
      <c r="G194" s="97" t="s">
        <v>573</v>
      </c>
      <c r="H194" s="97">
        <v>7</v>
      </c>
      <c r="I194" s="97"/>
      <c r="J194" s="58" t="s">
        <v>216</v>
      </c>
      <c r="K194" s="57" t="s">
        <v>118</v>
      </c>
      <c r="L194" s="7"/>
      <c r="M194" s="5"/>
      <c r="O194" s="51">
        <f>428.13+728.13-300</f>
        <v>856.26</v>
      </c>
      <c r="P194" s="6">
        <v>428.13</v>
      </c>
      <c r="Q194" s="4">
        <v>728.13</v>
      </c>
      <c r="R194" s="153" t="s">
        <v>574</v>
      </c>
      <c r="S194" s="3" t="s">
        <v>51</v>
      </c>
      <c r="T194" s="59" t="s">
        <v>21</v>
      </c>
      <c r="U194" s="6">
        <f t="shared" si="96"/>
        <v>1156.26</v>
      </c>
      <c r="V194" s="6">
        <f t="shared" si="97"/>
        <v>70</v>
      </c>
      <c r="W194" s="4">
        <f t="shared" si="98"/>
        <v>786.26</v>
      </c>
      <c r="X194" s="6"/>
      <c r="Y194" s="6">
        <f t="shared" si="99"/>
        <v>0</v>
      </c>
      <c r="Z194" s="6">
        <f t="shared" si="100"/>
        <v>786.26</v>
      </c>
    </row>
    <row r="195" spans="2:26" s="4" customFormat="1">
      <c r="B195" s="97" t="s">
        <v>631</v>
      </c>
      <c r="C195" s="116" t="s">
        <v>620</v>
      </c>
      <c r="D195" s="97"/>
      <c r="E195" s="97"/>
      <c r="F195" s="97"/>
      <c r="G195" s="97" t="s">
        <v>632</v>
      </c>
      <c r="H195" s="97">
        <v>7</v>
      </c>
      <c r="I195" s="97"/>
      <c r="J195" s="58" t="s">
        <v>621</v>
      </c>
      <c r="K195" s="57" t="s">
        <v>118</v>
      </c>
      <c r="L195" s="7"/>
      <c r="M195" s="5"/>
      <c r="O195" s="51">
        <f>1307.13-(95+300)</f>
        <v>912.13000000000011</v>
      </c>
      <c r="P195" s="136">
        <f>O195/2</f>
        <v>456.06500000000005</v>
      </c>
      <c r="Q195" s="4">
        <v>756.06</v>
      </c>
      <c r="R195" s="142" t="s">
        <v>622</v>
      </c>
      <c r="S195" s="3" t="s">
        <v>51</v>
      </c>
      <c r="T195" s="59" t="s">
        <v>165</v>
      </c>
      <c r="U195" s="6"/>
      <c r="V195" s="6">
        <f t="shared" si="97"/>
        <v>70</v>
      </c>
      <c r="X195" s="6"/>
      <c r="Y195" s="6">
        <f t="shared" si="99"/>
        <v>0</v>
      </c>
      <c r="Z195" s="6"/>
    </row>
    <row r="196" spans="2:26" s="4" customFormat="1">
      <c r="B196" s="57" t="s">
        <v>617</v>
      </c>
      <c r="C196" s="116" t="s">
        <v>618</v>
      </c>
      <c r="D196" s="97" t="s">
        <v>214</v>
      </c>
      <c r="E196" s="97"/>
      <c r="F196" s="97"/>
      <c r="G196" s="97" t="s">
        <v>616</v>
      </c>
      <c r="H196" s="97">
        <v>7</v>
      </c>
      <c r="I196" s="97"/>
      <c r="J196" s="58" t="s">
        <v>518</v>
      </c>
      <c r="K196" s="57" t="s">
        <v>118</v>
      </c>
      <c r="L196" s="7"/>
      <c r="M196" s="5"/>
      <c r="O196" s="51">
        <v>1084</v>
      </c>
      <c r="P196" s="6">
        <f>715.72-108.24</f>
        <v>607.48</v>
      </c>
      <c r="Q196" s="4">
        <v>776.52</v>
      </c>
      <c r="R196" s="142" t="s">
        <v>619</v>
      </c>
      <c r="S196" s="3" t="s">
        <v>51</v>
      </c>
      <c r="T196" s="65" t="s">
        <v>637</v>
      </c>
      <c r="U196" s="6">
        <f>Q196+P196</f>
        <v>1384</v>
      </c>
      <c r="V196" s="6">
        <f>IF(H196&gt;0,70,0)</f>
        <v>70</v>
      </c>
      <c r="W196" s="4">
        <f>O196-V196</f>
        <v>1014</v>
      </c>
      <c r="X196" s="6"/>
      <c r="Y196" s="6">
        <f>IF(H196&gt;0,30*F196,0)</f>
        <v>0</v>
      </c>
      <c r="Z196" s="6">
        <f>W196-Y196</f>
        <v>1014</v>
      </c>
    </row>
    <row r="197" spans="2:26" s="4" customFormat="1">
      <c r="B197" s="156" t="s">
        <v>576</v>
      </c>
      <c r="C197" s="116" t="s">
        <v>577</v>
      </c>
      <c r="D197" s="97"/>
      <c r="E197" s="97"/>
      <c r="F197" s="97"/>
      <c r="G197" s="97" t="s">
        <v>579</v>
      </c>
      <c r="H197" s="97">
        <v>14</v>
      </c>
      <c r="I197" s="97"/>
      <c r="J197" s="58" t="s">
        <v>359</v>
      </c>
      <c r="K197" s="57" t="s">
        <v>118</v>
      </c>
      <c r="L197" s="7"/>
      <c r="M197" s="5"/>
      <c r="O197" s="51">
        <v>2327</v>
      </c>
      <c r="P197" s="6">
        <v>1163.5</v>
      </c>
      <c r="Q197" s="4">
        <f>1463.5+150</f>
        <v>1613.5</v>
      </c>
      <c r="R197" s="142" t="s">
        <v>578</v>
      </c>
      <c r="S197" s="3" t="s">
        <v>51</v>
      </c>
      <c r="T197" s="59" t="s">
        <v>21</v>
      </c>
      <c r="U197" s="6">
        <f t="shared" si="96"/>
        <v>2777</v>
      </c>
      <c r="V197" s="6">
        <f t="shared" si="97"/>
        <v>70</v>
      </c>
      <c r="W197" s="4">
        <f t="shared" si="98"/>
        <v>2257</v>
      </c>
      <c r="X197" s="6"/>
      <c r="Y197" s="6">
        <f t="shared" si="99"/>
        <v>0</v>
      </c>
      <c r="Z197" s="6">
        <f t="shared" si="100"/>
        <v>2257</v>
      </c>
    </row>
    <row r="198" spans="2:26" s="4" customFormat="1">
      <c r="B198" s="57" t="s">
        <v>596</v>
      </c>
      <c r="C198" s="57" t="s">
        <v>594</v>
      </c>
      <c r="D198" s="97"/>
      <c r="E198" s="97"/>
      <c r="F198" s="97"/>
      <c r="G198" s="97" t="s">
        <v>592</v>
      </c>
      <c r="H198" s="97">
        <v>10</v>
      </c>
      <c r="I198" s="97"/>
      <c r="J198" s="58" t="s">
        <v>593</v>
      </c>
      <c r="K198" s="57" t="s">
        <v>118</v>
      </c>
      <c r="L198" s="7"/>
      <c r="M198" s="5"/>
      <c r="O198" s="51">
        <v>1468.28</v>
      </c>
      <c r="P198" s="6">
        <v>734.14</v>
      </c>
      <c r="Q198" s="148">
        <f>734.14+300-731.14</f>
        <v>302.99999999999989</v>
      </c>
      <c r="R198" s="142" t="s">
        <v>595</v>
      </c>
      <c r="S198" s="3" t="s">
        <v>51</v>
      </c>
      <c r="T198" s="59" t="s">
        <v>389</v>
      </c>
      <c r="U198" s="6">
        <f>Q198+P198</f>
        <v>1037.1399999999999</v>
      </c>
      <c r="V198" s="6">
        <f>IF(H198&gt;0,70,0)</f>
        <v>70</v>
      </c>
      <c r="W198" s="4">
        <f>O198-V198</f>
        <v>1398.28</v>
      </c>
      <c r="X198" s="6"/>
      <c r="Y198" s="6">
        <f>IF(H198&gt;0,30*F198,0)</f>
        <v>0</v>
      </c>
      <c r="Z198" s="6">
        <f>W198-Y198</f>
        <v>1398.28</v>
      </c>
    </row>
    <row r="199" spans="2:26" s="4" customFormat="1">
      <c r="B199" s="156" t="s">
        <v>635</v>
      </c>
      <c r="C199" s="116" t="s">
        <v>636</v>
      </c>
      <c r="D199" s="97"/>
      <c r="E199" s="97"/>
      <c r="F199" s="97"/>
      <c r="G199" s="97" t="s">
        <v>634</v>
      </c>
      <c r="H199" s="97">
        <v>5</v>
      </c>
      <c r="I199" s="97"/>
      <c r="J199" s="58" t="s">
        <v>231</v>
      </c>
      <c r="K199" s="57" t="s">
        <v>118</v>
      </c>
      <c r="L199" s="7"/>
      <c r="M199" s="5"/>
      <c r="O199" s="51">
        <f>887.14-90</f>
        <v>797.14</v>
      </c>
      <c r="P199" s="6">
        <f>1187.14-90</f>
        <v>1097.1400000000001</v>
      </c>
      <c r="Q199" s="4">
        <v>0</v>
      </c>
      <c r="R199" s="142" t="s">
        <v>50</v>
      </c>
      <c r="S199" s="3" t="s">
        <v>51</v>
      </c>
      <c r="T199" s="155" t="s">
        <v>638</v>
      </c>
      <c r="U199" s="6">
        <f t="shared" si="96"/>
        <v>1097.1400000000001</v>
      </c>
      <c r="V199" s="6">
        <f t="shared" si="97"/>
        <v>70</v>
      </c>
      <c r="W199" s="4">
        <f t="shared" si="98"/>
        <v>727.14</v>
      </c>
      <c r="X199" s="6"/>
      <c r="Y199" s="6">
        <f t="shared" si="99"/>
        <v>0</v>
      </c>
      <c r="Z199" s="6">
        <f t="shared" si="100"/>
        <v>727.14</v>
      </c>
    </row>
    <row r="200" spans="2:26" s="4" customFormat="1">
      <c r="B200" s="157" t="s">
        <v>581</v>
      </c>
      <c r="C200" s="116" t="s">
        <v>582</v>
      </c>
      <c r="D200" s="97"/>
      <c r="E200" s="97">
        <f>IF(D200=$B$11,H200,0)</f>
        <v>0</v>
      </c>
      <c r="F200" s="97">
        <f>IF(E200&gt;0,0,1)</f>
        <v>1</v>
      </c>
      <c r="G200" s="97" t="s">
        <v>580</v>
      </c>
      <c r="H200" s="97"/>
      <c r="I200" s="97"/>
      <c r="J200" s="58" t="s">
        <v>231</v>
      </c>
      <c r="K200" s="57" t="s">
        <v>118</v>
      </c>
      <c r="L200" s="7"/>
      <c r="M200" s="5"/>
      <c r="O200" s="51">
        <v>1209.5</v>
      </c>
      <c r="P200" s="6">
        <v>604.75</v>
      </c>
      <c r="Q200" s="4">
        <v>904.75</v>
      </c>
      <c r="R200" s="142" t="s">
        <v>583</v>
      </c>
      <c r="S200" s="3" t="s">
        <v>51</v>
      </c>
      <c r="T200" s="59" t="s">
        <v>149</v>
      </c>
      <c r="U200" s="6">
        <f t="shared" ref="U200:U206" si="101">Q200+P200</f>
        <v>1509.5</v>
      </c>
      <c r="V200" s="6">
        <f t="shared" ref="V200:V206" si="102">IF(H200&gt;0,70,0)</f>
        <v>0</v>
      </c>
      <c r="W200" s="4">
        <f t="shared" ref="W200:W206" si="103">O200-V200</f>
        <v>1209.5</v>
      </c>
      <c r="X200" s="6"/>
      <c r="Y200" s="6">
        <f t="shared" ref="Y200:Y206" si="104">IF(H200&gt;0,30*F200,0)</f>
        <v>0</v>
      </c>
      <c r="Z200" s="6">
        <f t="shared" ref="Z200:Z206" si="105">W200-Y200</f>
        <v>1209.5</v>
      </c>
    </row>
    <row r="201" spans="2:26" s="4" customFormat="1">
      <c r="B201" s="147" t="s">
        <v>591</v>
      </c>
      <c r="C201" s="116" t="s">
        <v>590</v>
      </c>
      <c r="D201" s="97"/>
      <c r="E201" s="97"/>
      <c r="F201" s="97"/>
      <c r="G201" s="97" t="s">
        <v>589</v>
      </c>
      <c r="H201" s="97"/>
      <c r="I201" s="97"/>
      <c r="J201" s="58" t="s">
        <v>518</v>
      </c>
      <c r="K201" s="57" t="s">
        <v>118</v>
      </c>
      <c r="L201" s="7"/>
      <c r="M201" s="5"/>
      <c r="O201" s="51">
        <v>1051</v>
      </c>
      <c r="P201" s="6">
        <v>525.9</v>
      </c>
      <c r="Q201" s="4">
        <v>825.9</v>
      </c>
      <c r="R201" s="142">
        <v>42905</v>
      </c>
      <c r="S201" s="3" t="s">
        <v>51</v>
      </c>
      <c r="T201" s="59" t="s">
        <v>639</v>
      </c>
      <c r="U201" s="6">
        <f t="shared" si="101"/>
        <v>1351.8</v>
      </c>
      <c r="V201" s="6">
        <f t="shared" si="102"/>
        <v>0</v>
      </c>
      <c r="W201" s="4">
        <f t="shared" si="103"/>
        <v>1051</v>
      </c>
      <c r="X201" s="6"/>
      <c r="Y201" s="6">
        <f t="shared" si="104"/>
        <v>0</v>
      </c>
      <c r="Z201" s="6">
        <f t="shared" si="105"/>
        <v>1051</v>
      </c>
    </row>
    <row r="202" spans="2:26" s="4" customFormat="1">
      <c r="B202" s="158" t="s">
        <v>565</v>
      </c>
      <c r="C202" s="116" t="s">
        <v>533</v>
      </c>
      <c r="D202" s="97" t="s">
        <v>562</v>
      </c>
      <c r="E202" s="97">
        <v>0</v>
      </c>
      <c r="F202" s="97">
        <v>1</v>
      </c>
      <c r="G202" s="97" t="s">
        <v>563</v>
      </c>
      <c r="H202" s="97">
        <v>7</v>
      </c>
      <c r="I202" s="97"/>
      <c r="J202" s="58" t="s">
        <v>359</v>
      </c>
      <c r="K202" s="57" t="s">
        <v>118</v>
      </c>
      <c r="L202" s="7"/>
      <c r="M202" s="5"/>
      <c r="O202" s="51">
        <v>930</v>
      </c>
      <c r="P202" s="140">
        <v>372</v>
      </c>
      <c r="Q202" s="4">
        <f>IF(O202&gt;0,((O202+300)-P202),0)</f>
        <v>858</v>
      </c>
      <c r="R202" s="142" t="s">
        <v>564</v>
      </c>
      <c r="S202" s="3" t="s">
        <v>51</v>
      </c>
      <c r="T202" s="59" t="s">
        <v>21</v>
      </c>
      <c r="U202" s="6">
        <f>Q202+P202</f>
        <v>1230</v>
      </c>
      <c r="V202" s="6">
        <f>IF(H202&gt;0,70,0)</f>
        <v>70</v>
      </c>
      <c r="W202" s="4">
        <f>O202-V202</f>
        <v>860</v>
      </c>
      <c r="X202" s="6"/>
      <c r="Y202" s="6">
        <f>IF(H202&gt;0,30*F202,0)</f>
        <v>30</v>
      </c>
      <c r="Z202" s="6">
        <f>W202-Y202</f>
        <v>830</v>
      </c>
    </row>
    <row r="203" spans="2:26" s="4" customFormat="1" ht="15.6">
      <c r="B203" s="120" t="s">
        <v>433</v>
      </c>
      <c r="C203" s="116" t="s">
        <v>248</v>
      </c>
      <c r="D203" s="97" t="s">
        <v>53</v>
      </c>
      <c r="E203" s="97">
        <f>IF(D203=$B$11,H203,0)</f>
        <v>0</v>
      </c>
      <c r="F203" s="97">
        <f>IF(E203&gt;0,0,1)</f>
        <v>1</v>
      </c>
      <c r="G203" s="97" t="s">
        <v>556</v>
      </c>
      <c r="H203" s="97">
        <v>9</v>
      </c>
      <c r="I203" s="97"/>
      <c r="J203" s="58" t="s">
        <v>231</v>
      </c>
      <c r="K203" s="57" t="s">
        <v>118</v>
      </c>
      <c r="L203" s="7"/>
      <c r="M203" s="5"/>
      <c r="O203" s="51">
        <v>883.57</v>
      </c>
      <c r="P203" s="6">
        <v>300</v>
      </c>
      <c r="Q203" s="4">
        <v>883.57</v>
      </c>
      <c r="R203" s="142" t="s">
        <v>557</v>
      </c>
      <c r="S203" s="3" t="s">
        <v>51</v>
      </c>
      <c r="T203" s="59" t="s">
        <v>227</v>
      </c>
      <c r="U203" s="6">
        <f t="shared" si="101"/>
        <v>1183.5700000000002</v>
      </c>
      <c r="V203" s="6">
        <f t="shared" si="102"/>
        <v>70</v>
      </c>
      <c r="W203" s="4">
        <f t="shared" si="103"/>
        <v>813.57</v>
      </c>
      <c r="X203" s="6"/>
      <c r="Y203" s="6">
        <f t="shared" si="104"/>
        <v>30</v>
      </c>
      <c r="Z203" s="6">
        <f t="shared" si="105"/>
        <v>783.57</v>
      </c>
    </row>
    <row r="204" spans="2:26" s="4" customFormat="1">
      <c r="B204" s="159" t="s">
        <v>601</v>
      </c>
      <c r="C204" s="116" t="s">
        <v>600</v>
      </c>
      <c r="D204" s="97" t="s">
        <v>214</v>
      </c>
      <c r="E204" s="97"/>
      <c r="F204" s="97"/>
      <c r="G204" s="97" t="s">
        <v>610</v>
      </c>
      <c r="H204" s="97">
        <v>4</v>
      </c>
      <c r="I204" s="97"/>
      <c r="J204" s="58" t="s">
        <v>602</v>
      </c>
      <c r="K204" s="57" t="s">
        <v>118</v>
      </c>
      <c r="L204" s="7"/>
      <c r="M204" s="5"/>
      <c r="O204" s="51">
        <f>545.38-54+100</f>
        <v>591.38</v>
      </c>
      <c r="P204" s="6">
        <f>299.69-54</f>
        <v>245.69</v>
      </c>
      <c r="Q204" s="4">
        <f>P204+300+100</f>
        <v>645.69000000000005</v>
      </c>
      <c r="R204" s="142" t="s">
        <v>603</v>
      </c>
      <c r="S204" s="3" t="s">
        <v>51</v>
      </c>
      <c r="T204" s="59" t="s">
        <v>21</v>
      </c>
      <c r="U204" s="6">
        <f t="shared" si="101"/>
        <v>891.38000000000011</v>
      </c>
      <c r="V204" s="6">
        <f t="shared" si="102"/>
        <v>70</v>
      </c>
      <c r="W204" s="4">
        <f t="shared" si="103"/>
        <v>521.38</v>
      </c>
      <c r="X204" s="6"/>
      <c r="Y204" s="6">
        <f t="shared" si="104"/>
        <v>0</v>
      </c>
      <c r="Z204" s="6">
        <f t="shared" si="105"/>
        <v>521.38</v>
      </c>
    </row>
    <row r="205" spans="2:26" s="4" customFormat="1">
      <c r="B205" s="129" t="s">
        <v>630</v>
      </c>
      <c r="C205" s="116" t="s">
        <v>629</v>
      </c>
      <c r="D205" s="97"/>
      <c r="E205" s="97"/>
      <c r="F205" s="97"/>
      <c r="G205" s="97" t="s">
        <v>627</v>
      </c>
      <c r="H205" s="97">
        <v>5</v>
      </c>
      <c r="I205" s="97"/>
      <c r="J205" s="58" t="s">
        <v>628</v>
      </c>
      <c r="K205" s="57" t="s">
        <v>118</v>
      </c>
      <c r="L205" s="7"/>
      <c r="M205" s="5"/>
      <c r="O205" s="51">
        <f>632.42-61.2</f>
        <v>571.21999999999991</v>
      </c>
      <c r="P205" s="6">
        <f>O205+300</f>
        <v>871.21999999999991</v>
      </c>
      <c r="Q205" s="4">
        <v>0</v>
      </c>
      <c r="R205" s="142" t="s">
        <v>50</v>
      </c>
      <c r="S205" s="3" t="s">
        <v>51</v>
      </c>
      <c r="T205" s="65" t="s">
        <v>651</v>
      </c>
      <c r="U205" s="6">
        <f t="shared" si="101"/>
        <v>871.21999999999991</v>
      </c>
      <c r="V205" s="6">
        <f t="shared" si="102"/>
        <v>70</v>
      </c>
      <c r="W205" s="4">
        <f t="shared" si="103"/>
        <v>501.21999999999991</v>
      </c>
      <c r="X205" s="6"/>
      <c r="Y205" s="6">
        <f t="shared" si="104"/>
        <v>0</v>
      </c>
      <c r="Z205" s="6">
        <f t="shared" si="105"/>
        <v>501.21999999999991</v>
      </c>
    </row>
    <row r="206" spans="2:26" s="4" customFormat="1">
      <c r="B206" s="152" t="s">
        <v>613</v>
      </c>
      <c r="C206" s="116" t="s">
        <v>614</v>
      </c>
      <c r="D206" s="97"/>
      <c r="E206" s="97"/>
      <c r="F206" s="97"/>
      <c r="G206" s="97" t="s">
        <v>611</v>
      </c>
      <c r="H206" s="97">
        <v>5</v>
      </c>
      <c r="I206" s="97"/>
      <c r="J206" s="58" t="s">
        <v>612</v>
      </c>
      <c r="K206" s="57" t="s">
        <v>118</v>
      </c>
      <c r="L206" s="7"/>
      <c r="M206" s="5"/>
      <c r="O206" s="51">
        <f>(P206+Q206)-300</f>
        <v>449.67000000000007</v>
      </c>
      <c r="P206" s="6">
        <f>274.04-49.2</f>
        <v>224.84000000000003</v>
      </c>
      <c r="Q206" s="4">
        <v>524.83000000000004</v>
      </c>
      <c r="R206" s="142" t="s">
        <v>615</v>
      </c>
      <c r="S206" s="3" t="s">
        <v>51</v>
      </c>
      <c r="T206" s="59" t="s">
        <v>149</v>
      </c>
      <c r="U206" s="6">
        <f t="shared" si="101"/>
        <v>749.67000000000007</v>
      </c>
      <c r="V206" s="6">
        <f t="shared" si="102"/>
        <v>70</v>
      </c>
      <c r="W206" s="4">
        <f t="shared" si="103"/>
        <v>379.67000000000007</v>
      </c>
      <c r="X206" s="6"/>
      <c r="Y206" s="6">
        <f t="shared" si="104"/>
        <v>0</v>
      </c>
      <c r="Z206" s="6">
        <f t="shared" si="105"/>
        <v>379.67000000000007</v>
      </c>
    </row>
    <row r="207" spans="2:26" s="4" customFormat="1" ht="24.6">
      <c r="B207" s="149">
        <v>2019</v>
      </c>
      <c r="D207" s="97"/>
      <c r="E207" s="97">
        <f>IF(D207=$B$11,H207,0)</f>
        <v>0</v>
      </c>
      <c r="F207" s="97">
        <f>IF(E207&gt;0,0,1)</f>
        <v>1</v>
      </c>
      <c r="G207" s="97"/>
      <c r="H207" s="97">
        <v>7</v>
      </c>
      <c r="I207" s="97"/>
      <c r="J207" s="57"/>
      <c r="K207" s="57" t="s">
        <v>118</v>
      </c>
      <c r="L207" s="7"/>
      <c r="M207" s="5"/>
      <c r="O207" s="51">
        <v>0</v>
      </c>
      <c r="P207" s="6">
        <v>0</v>
      </c>
      <c r="Q207" s="4">
        <v>0</v>
      </c>
      <c r="R207" s="142" t="s">
        <v>604</v>
      </c>
      <c r="S207" s="3" t="s">
        <v>51</v>
      </c>
      <c r="T207" s="59" t="s">
        <v>604</v>
      </c>
      <c r="U207" s="6">
        <f t="shared" ref="U207:U212" si="106">Q207+P207</f>
        <v>0</v>
      </c>
      <c r="V207" s="6">
        <f t="shared" ref="V207:V212" si="107">IF(H207&gt;0,70,0)</f>
        <v>70</v>
      </c>
      <c r="W207" s="4">
        <f t="shared" ref="W207:W212" si="108">O207-V207</f>
        <v>-70</v>
      </c>
      <c r="X207" s="6"/>
      <c r="Y207" s="6">
        <f t="shared" ref="Y207:Y212" si="109">IF(H207&gt;0,30*F207,0)</f>
        <v>30</v>
      </c>
      <c r="Z207" s="6">
        <f t="shared" ref="Z207:Z212" si="110">W207-Y207</f>
        <v>-100</v>
      </c>
    </row>
    <row r="208" spans="2:26" s="4" customFormat="1">
      <c r="B208" s="57"/>
      <c r="C208" s="57"/>
      <c r="D208" s="97"/>
      <c r="E208" s="97"/>
      <c r="F208" s="97"/>
      <c r="G208" s="97"/>
      <c r="H208" s="97"/>
      <c r="I208" s="97"/>
      <c r="J208" s="58"/>
      <c r="K208" s="57" t="s">
        <v>118</v>
      </c>
      <c r="L208" s="7"/>
      <c r="M208" s="5"/>
      <c r="O208" s="51">
        <v>0</v>
      </c>
      <c r="P208" s="6">
        <v>0</v>
      </c>
      <c r="Q208" s="4">
        <v>0</v>
      </c>
      <c r="R208" s="142" t="s">
        <v>633</v>
      </c>
      <c r="S208" s="3" t="s">
        <v>51</v>
      </c>
      <c r="T208" s="59"/>
      <c r="U208" s="6">
        <f t="shared" si="106"/>
        <v>0</v>
      </c>
      <c r="V208" s="6">
        <f t="shared" si="107"/>
        <v>0</v>
      </c>
      <c r="W208" s="4">
        <f t="shared" si="108"/>
        <v>0</v>
      </c>
      <c r="X208" s="6"/>
      <c r="Y208" s="6">
        <f t="shared" si="109"/>
        <v>0</v>
      </c>
      <c r="Z208" s="6">
        <f t="shared" si="110"/>
        <v>0</v>
      </c>
    </row>
    <row r="209" spans="1:26" s="4" customFormat="1">
      <c r="B209" s="57"/>
      <c r="C209" s="57"/>
      <c r="D209" s="97"/>
      <c r="E209" s="97"/>
      <c r="F209" s="97"/>
      <c r="G209" s="97"/>
      <c r="H209" s="97"/>
      <c r="I209" s="97"/>
      <c r="K209" s="57" t="s">
        <v>118</v>
      </c>
      <c r="L209" s="7"/>
      <c r="M209" s="5"/>
      <c r="O209" s="51">
        <v>0</v>
      </c>
      <c r="P209" s="6">
        <v>0</v>
      </c>
      <c r="Q209" s="4">
        <v>0</v>
      </c>
      <c r="R209" s="142"/>
      <c r="S209" s="3" t="s">
        <v>51</v>
      </c>
      <c r="T209" s="59"/>
      <c r="U209" s="6">
        <f t="shared" si="106"/>
        <v>0</v>
      </c>
      <c r="V209" s="6">
        <f t="shared" si="107"/>
        <v>0</v>
      </c>
      <c r="W209" s="4">
        <f t="shared" si="108"/>
        <v>0</v>
      </c>
      <c r="X209" s="6"/>
      <c r="Y209" s="6">
        <f t="shared" si="109"/>
        <v>0</v>
      </c>
      <c r="Z209" s="6">
        <f t="shared" si="110"/>
        <v>0</v>
      </c>
    </row>
    <row r="210" spans="1:26" s="4" customFormat="1">
      <c r="B210" s="151" t="s">
        <v>605</v>
      </c>
      <c r="C210" s="57" t="s">
        <v>606</v>
      </c>
      <c r="D210" s="97" t="s">
        <v>214</v>
      </c>
      <c r="E210" s="97"/>
      <c r="F210" s="97"/>
      <c r="G210" s="97" t="s">
        <v>607</v>
      </c>
      <c r="H210" s="97">
        <v>14</v>
      </c>
      <c r="I210" s="97"/>
      <c r="J210" s="58" t="s">
        <v>608</v>
      </c>
      <c r="K210" s="57" t="s">
        <v>118</v>
      </c>
      <c r="L210" s="7"/>
      <c r="M210" s="5"/>
      <c r="O210" s="150">
        <f>P210+Q210-300</f>
        <v>2387.9899999999998</v>
      </c>
      <c r="P210" s="136">
        <f>1350.44-157.44</f>
        <v>1193</v>
      </c>
      <c r="Q210" s="4">
        <v>1494.99</v>
      </c>
      <c r="R210" s="142" t="s">
        <v>609</v>
      </c>
      <c r="S210" s="3" t="s">
        <v>51</v>
      </c>
      <c r="T210" s="59" t="s">
        <v>165</v>
      </c>
      <c r="U210" s="6">
        <f t="shared" si="106"/>
        <v>2687.99</v>
      </c>
      <c r="V210" s="6">
        <f t="shared" si="107"/>
        <v>70</v>
      </c>
      <c r="W210" s="4">
        <f t="shared" si="108"/>
        <v>2317.9899999999998</v>
      </c>
      <c r="X210" s="6"/>
      <c r="Y210" s="6">
        <f t="shared" si="109"/>
        <v>0</v>
      </c>
      <c r="Z210" s="6">
        <f t="shared" si="110"/>
        <v>2317.9899999999998</v>
      </c>
    </row>
    <row r="211" spans="1:26" s="4" customFormat="1">
      <c r="B211" s="57"/>
      <c r="C211" s="57" t="s">
        <v>640</v>
      </c>
      <c r="D211" s="97"/>
      <c r="E211" s="97"/>
      <c r="F211" s="97"/>
      <c r="G211" s="97"/>
      <c r="H211" s="97"/>
      <c r="I211" s="97"/>
      <c r="J211" s="58"/>
      <c r="K211" s="57" t="s">
        <v>118</v>
      </c>
      <c r="L211" s="5" t="s">
        <v>641</v>
      </c>
      <c r="O211" s="150">
        <f>O210*-1</f>
        <v>-2387.9899999999998</v>
      </c>
      <c r="P211" s="6">
        <v>0</v>
      </c>
      <c r="Q211" s="4">
        <v>0</v>
      </c>
      <c r="R211" s="142"/>
      <c r="S211" s="3" t="s">
        <v>51</v>
      </c>
      <c r="T211" s="59"/>
      <c r="U211" s="6">
        <f t="shared" si="106"/>
        <v>0</v>
      </c>
      <c r="V211" s="6">
        <f t="shared" si="107"/>
        <v>0</v>
      </c>
      <c r="W211" s="4">
        <f t="shared" si="108"/>
        <v>-2387.9899999999998</v>
      </c>
      <c r="X211" s="6"/>
      <c r="Y211" s="6">
        <f t="shared" si="109"/>
        <v>0</v>
      </c>
      <c r="Z211" s="6">
        <f t="shared" si="110"/>
        <v>-2387.9899999999998</v>
      </c>
    </row>
    <row r="212" spans="1:26" s="4" customFormat="1">
      <c r="B212" s="15"/>
      <c r="C212" s="52"/>
      <c r="D212" s="58"/>
      <c r="E212" s="4">
        <f>IF(D212=$B$11,H212,0)</f>
        <v>0</v>
      </c>
      <c r="F212" s="4">
        <f>IF(E212&gt;0,0,1)</f>
        <v>1</v>
      </c>
      <c r="G212" s="58"/>
      <c r="H212" s="15"/>
      <c r="I212" s="15"/>
      <c r="J212" s="58"/>
      <c r="K212" s="57"/>
      <c r="L212" s="7"/>
      <c r="M212" s="5"/>
      <c r="O212" s="51">
        <v>0</v>
      </c>
      <c r="P212" s="6">
        <f>ROUND((O212*0.4),0)</f>
        <v>0</v>
      </c>
      <c r="Q212" s="4">
        <f>IF(O212&gt;0,((O212+300)-P212),0)</f>
        <v>0</v>
      </c>
      <c r="R212" s="8"/>
      <c r="S212" s="3"/>
      <c r="T212" s="59"/>
      <c r="U212" s="6">
        <f t="shared" si="106"/>
        <v>0</v>
      </c>
      <c r="V212" s="6">
        <f t="shared" si="107"/>
        <v>0</v>
      </c>
      <c r="W212" s="4">
        <f t="shared" si="108"/>
        <v>0</v>
      </c>
      <c r="X212" s="6"/>
      <c r="Y212" s="6">
        <f t="shared" si="109"/>
        <v>0</v>
      </c>
      <c r="Z212" s="6">
        <f t="shared" si="110"/>
        <v>0</v>
      </c>
    </row>
    <row r="213" spans="1:26" s="4" customFormat="1">
      <c r="A213" s="43"/>
      <c r="B213" s="44"/>
      <c r="C213" s="45"/>
      <c r="D213" s="44"/>
      <c r="E213" s="44"/>
      <c r="F213" s="44"/>
      <c r="G213" s="44"/>
      <c r="H213" s="44"/>
      <c r="I213" s="44"/>
      <c r="J213" s="44"/>
      <c r="K213" s="43"/>
      <c r="L213" s="46"/>
      <c r="M213" s="47"/>
      <c r="N213" s="43"/>
      <c r="O213" s="48">
        <f>SUM(O163:O212)</f>
        <v>43275.839999999997</v>
      </c>
      <c r="P213" s="49"/>
      <c r="Q213" s="43"/>
      <c r="R213" s="50"/>
      <c r="S213" s="48"/>
      <c r="T213" s="46"/>
      <c r="U213" s="49"/>
      <c r="V213" s="49"/>
      <c r="W213" s="43"/>
      <c r="X213" s="49"/>
      <c r="Y213" s="49"/>
      <c r="Z213" s="48">
        <f>SUM(Z162:Z212)</f>
        <v>39323.709999999992</v>
      </c>
    </row>
    <row r="214" spans="1:26" s="4" customFormat="1">
      <c r="A214" s="18"/>
      <c r="B214" s="19"/>
      <c r="C214" s="20"/>
      <c r="D214" s="19"/>
      <c r="E214" s="19"/>
      <c r="F214" s="19"/>
      <c r="G214" s="19"/>
      <c r="H214" s="19"/>
      <c r="I214" s="19"/>
      <c r="J214" s="19"/>
      <c r="K214" s="18"/>
      <c r="L214" s="21"/>
      <c r="M214" s="22"/>
      <c r="N214" s="18"/>
      <c r="O214" s="23"/>
      <c r="P214" s="23"/>
      <c r="Q214" s="18"/>
      <c r="R214" s="24"/>
      <c r="S214" s="25"/>
      <c r="T214" s="21"/>
      <c r="U214" s="23"/>
      <c r="V214" s="23"/>
      <c r="W214" s="18"/>
      <c r="X214" s="23"/>
      <c r="Y214" s="23"/>
      <c r="Z214" s="23"/>
    </row>
    <row r="215" spans="1:26" s="4" customFormat="1">
      <c r="A215" s="35"/>
      <c r="B215" s="36"/>
      <c r="C215" s="37" t="s">
        <v>599</v>
      </c>
      <c r="D215" s="36"/>
      <c r="E215" s="36"/>
      <c r="F215" s="36"/>
      <c r="G215" s="36"/>
      <c r="H215" s="36"/>
      <c r="I215" s="36"/>
      <c r="J215" s="36"/>
      <c r="K215" s="35"/>
      <c r="L215" s="38"/>
      <c r="M215" s="39"/>
      <c r="N215" s="35"/>
      <c r="O215" s="40"/>
      <c r="P215" s="40"/>
      <c r="Q215" s="35"/>
      <c r="R215" s="41"/>
      <c r="S215" s="42"/>
      <c r="T215" s="38"/>
      <c r="U215" s="40"/>
      <c r="V215" s="40"/>
      <c r="W215" s="35"/>
      <c r="X215" s="40"/>
      <c r="Y215" s="40"/>
      <c r="Z215" s="40"/>
    </row>
    <row r="216" spans="1:26" s="4" customFormat="1">
      <c r="A216" s="18"/>
      <c r="B216" s="19"/>
      <c r="C216" s="20"/>
      <c r="D216" s="19"/>
      <c r="E216" s="19"/>
      <c r="F216" s="19"/>
      <c r="G216" s="19"/>
      <c r="H216" s="19"/>
      <c r="I216" s="19"/>
      <c r="J216" s="19"/>
      <c r="K216" s="18"/>
      <c r="L216" s="21"/>
      <c r="M216" s="22"/>
      <c r="N216" s="18"/>
      <c r="O216" s="23"/>
      <c r="P216" s="23"/>
      <c r="Q216" s="18"/>
      <c r="R216" s="24"/>
      <c r="S216" s="25"/>
      <c r="T216" s="21"/>
      <c r="U216" s="23"/>
      <c r="V216" s="23"/>
      <c r="W216" s="18"/>
      <c r="X216" s="23"/>
      <c r="Y216" s="23"/>
      <c r="Z216" s="23"/>
    </row>
    <row r="217" spans="1:26" s="4" customFormat="1" ht="15.6">
      <c r="C217" s="11"/>
      <c r="G217" s="16" t="s">
        <v>31</v>
      </c>
      <c r="H217" s="4">
        <f>SUM(H15:H214)</f>
        <v>1823</v>
      </c>
      <c r="L217" s="7"/>
      <c r="V217" s="4">
        <f>SUM(V15:V76)</f>
        <v>3430</v>
      </c>
      <c r="W217" s="4">
        <f>SUM(W15:W76)</f>
        <v>48689</v>
      </c>
      <c r="X217" s="4">
        <f>SUM(X15:X55)</f>
        <v>0</v>
      </c>
      <c r="Y217" s="4">
        <f>SUM(Y15:Y76)</f>
        <v>1380</v>
      </c>
      <c r="Z217" s="4">
        <f>Z37+Z56+Z77</f>
        <v>47309</v>
      </c>
    </row>
    <row r="218" spans="1:26" s="4" customFormat="1">
      <c r="L218" s="7"/>
    </row>
    <row r="219" spans="1:26" s="4" customFormat="1">
      <c r="G219" s="6" t="s">
        <v>30</v>
      </c>
      <c r="H219" s="4">
        <f>H217/7</f>
        <v>260.42857142857144</v>
      </c>
      <c r="L219" s="7"/>
      <c r="Z219" s="4">
        <f>Z217/320000</f>
        <v>0.147840625</v>
      </c>
    </row>
    <row r="220" spans="1:26" s="4" customFormat="1">
      <c r="L220" s="7"/>
      <c r="O220" s="160">
        <f>O213+O161+O131+O101+O77+O56+O37+0</f>
        <v>163315.6</v>
      </c>
    </row>
    <row r="221" spans="1:26" s="4" customFormat="1">
      <c r="G221" s="6" t="s">
        <v>33</v>
      </c>
      <c r="H221" s="4">
        <f>SUM(E15:E214)</f>
        <v>11</v>
      </c>
      <c r="L221" s="7"/>
    </row>
    <row r="222" spans="1:26">
      <c r="G222" s="6" t="s">
        <v>34</v>
      </c>
      <c r="H222" s="4">
        <f>H221/7</f>
        <v>1.5714285714285714</v>
      </c>
      <c r="N222" t="s">
        <v>646</v>
      </c>
      <c r="O222" s="160">
        <v>25000</v>
      </c>
    </row>
    <row r="223" spans="1:26">
      <c r="Q223" t="s">
        <v>649</v>
      </c>
    </row>
    <row r="224" spans="1:26">
      <c r="G224" s="6" t="s">
        <v>35</v>
      </c>
      <c r="H224" s="4">
        <f>H217-H221</f>
        <v>1812</v>
      </c>
      <c r="N224" s="4" t="s">
        <v>650</v>
      </c>
      <c r="O224" s="160">
        <f>O220-O222</f>
        <v>138315.6</v>
      </c>
      <c r="Q224" s="160">
        <f>O224/8</f>
        <v>17289.45</v>
      </c>
      <c r="R224" t="s">
        <v>648</v>
      </c>
    </row>
    <row r="225" spans="1:20">
      <c r="G225" s="6" t="s">
        <v>36</v>
      </c>
      <c r="H225" s="4">
        <f>H219-H222</f>
        <v>258.85714285714289</v>
      </c>
      <c r="Q225" s="4"/>
    </row>
    <row r="226" spans="1:20">
      <c r="B226" s="4"/>
      <c r="G226" s="6" t="s">
        <v>37</v>
      </c>
      <c r="H226" s="4">
        <f>Z217/H225</f>
        <v>182.7610375275938</v>
      </c>
      <c r="N226" t="s">
        <v>647</v>
      </c>
      <c r="O226" s="161">
        <f>O224*1.15</f>
        <v>159062.94</v>
      </c>
      <c r="Q226" s="161">
        <f>O226/8</f>
        <v>19882.8675</v>
      </c>
      <c r="R226" t="s">
        <v>648</v>
      </c>
    </row>
    <row r="227" spans="1:20" ht="15.6">
      <c r="B227" s="4"/>
      <c r="C227" s="11"/>
    </row>
    <row r="228" spans="1:20" ht="16.8">
      <c r="B228" s="119"/>
      <c r="C228" s="119"/>
      <c r="D228" s="117"/>
      <c r="E228" s="118"/>
      <c r="F228" s="118"/>
      <c r="G228" s="118"/>
      <c r="T228" s="4"/>
    </row>
    <row r="229" spans="1:20" ht="19.2">
      <c r="B229" s="13"/>
      <c r="C229" s="10"/>
      <c r="G229" s="11"/>
      <c r="H229" s="11"/>
      <c r="I229" s="11"/>
      <c r="N229" t="s">
        <v>642</v>
      </c>
      <c r="O229" s="161">
        <f>Q231*S230</f>
        <v>78000</v>
      </c>
      <c r="Q229" s="4"/>
    </row>
    <row r="230" spans="1:20" ht="19.2">
      <c r="B230" s="12"/>
      <c r="C230" s="12"/>
      <c r="G230" s="11"/>
      <c r="H230" s="11"/>
      <c r="I230" s="11"/>
      <c r="N230" t="s">
        <v>643</v>
      </c>
      <c r="O230" s="161">
        <v>172000</v>
      </c>
      <c r="Q230">
        <v>1</v>
      </c>
      <c r="S230">
        <v>1.5</v>
      </c>
      <c r="T230" s="4"/>
    </row>
    <row r="231" spans="1:20" ht="19.2">
      <c r="B231" s="14"/>
      <c r="C231" s="12"/>
      <c r="Q231">
        <v>52000</v>
      </c>
    </row>
    <row r="232" spans="1:20" ht="19.2">
      <c r="A232"/>
      <c r="B232" s="12"/>
      <c r="C232" s="12"/>
      <c r="D232"/>
      <c r="E232"/>
      <c r="F232"/>
      <c r="G232"/>
      <c r="H232"/>
      <c r="J232"/>
      <c r="K232"/>
      <c r="L232"/>
      <c r="N232" t="s">
        <v>644</v>
      </c>
      <c r="O232" s="161">
        <f>O230-O229</f>
        <v>94000</v>
      </c>
      <c r="Q232" s="161"/>
    </row>
    <row r="233" spans="1:20" ht="15">
      <c r="A233"/>
      <c r="B233" s="14"/>
      <c r="C233" s="14"/>
      <c r="D233"/>
      <c r="E233"/>
      <c r="F233"/>
      <c r="G233"/>
      <c r="H233"/>
      <c r="J233"/>
      <c r="K233"/>
      <c r="L233"/>
      <c r="N233" t="s">
        <v>645</v>
      </c>
    </row>
    <row r="234" spans="1:20" ht="15">
      <c r="A234"/>
      <c r="B234" s="14"/>
      <c r="C234" s="14"/>
      <c r="D234"/>
      <c r="E234"/>
      <c r="F234"/>
      <c r="G234"/>
      <c r="H234"/>
      <c r="J234"/>
      <c r="K234"/>
      <c r="L234"/>
    </row>
  </sheetData>
  <hyperlinks>
    <hyperlink ref="C202" r:id="rId1"/>
    <hyperlink ref="C192" r:id="rId2"/>
    <hyperlink ref="C182" r:id="rId3"/>
    <hyperlink ref="C183" r:id="rId4"/>
    <hyperlink ref="C181" r:id="rId5"/>
    <hyperlink ref="C184" r:id="rId6"/>
    <hyperlink ref="C200" r:id="rId7"/>
    <hyperlink ref="C201" r:id="rId8"/>
    <hyperlink ref="C189" r:id="rId9"/>
    <hyperlink ref="C204" r:id="rId10"/>
    <hyperlink ref="C206" r:id="rId11"/>
    <hyperlink ref="C195" r:id="rId12"/>
    <hyperlink ref="C194" r:id="rId13"/>
    <hyperlink ref="C196" r:id="rId14"/>
    <hyperlink ref="C197" r:id="rId15"/>
    <hyperlink ref="C205" r:id="rId16"/>
    <hyperlink ref="C191" r:id="rId17"/>
    <hyperlink ref="C193" r:id="rId18"/>
    <hyperlink ref="C203" r:id="rId19"/>
    <hyperlink ref="C199" r:id="rId20"/>
    <hyperlink ref="T199" r:id="rId21"/>
  </hyperlinks>
  <pageMargins left="0.7" right="0.7" top="0.75" bottom="0.75" header="0.3" footer="0.3"/>
  <pageSetup orientation="portrait" r:id="rId22"/>
  <ignoredErrors>
    <ignoredError sqref="Q18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paul-mobil</cp:lastModifiedBy>
  <dcterms:created xsi:type="dcterms:W3CDTF">2010-06-05T09:28:51Z</dcterms:created>
  <dcterms:modified xsi:type="dcterms:W3CDTF">2018-10-09T11:06:52Z</dcterms:modified>
</cp:coreProperties>
</file>