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1704" windowWidth="19776" windowHeight="71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371" i="1" l="1"/>
  <c r="O372" i="1"/>
  <c r="P371" i="1" l="1"/>
  <c r="P358" i="1" l="1"/>
  <c r="O358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1" i="1"/>
  <c r="E352" i="1"/>
  <c r="E353" i="1"/>
  <c r="E354" i="1"/>
  <c r="E355" i="1"/>
  <c r="E356" i="1"/>
  <c r="E357" i="1"/>
  <c r="E358" i="1"/>
  <c r="E359" i="1"/>
  <c r="E360" i="1"/>
  <c r="E361" i="1"/>
  <c r="E319" i="1"/>
  <c r="D362" i="1" l="1"/>
  <c r="P372" i="1"/>
  <c r="O349" i="1" l="1"/>
  <c r="P349" i="1"/>
  <c r="Q340" i="1" l="1"/>
  <c r="P340" i="1"/>
  <c r="O379" i="1" l="1"/>
  <c r="AN320" i="1"/>
  <c r="AI320" i="1"/>
  <c r="AL402" i="1"/>
  <c r="AK402" i="1"/>
  <c r="AJ402" i="1"/>
  <c r="AI402" i="1"/>
  <c r="P326" i="1"/>
  <c r="Q328" i="1"/>
  <c r="O326" i="1"/>
  <c r="AQ326" i="1"/>
  <c r="AP326" i="1"/>
  <c r="AO326" i="1"/>
  <c r="AN326" i="1"/>
  <c r="AL326" i="1"/>
  <c r="AK326" i="1"/>
  <c r="AJ326" i="1"/>
  <c r="AI326" i="1"/>
  <c r="AE326" i="1"/>
  <c r="AA326" i="1"/>
  <c r="Z326" i="1"/>
  <c r="U326" i="1"/>
  <c r="T326" i="1" s="1"/>
  <c r="X326" i="1" l="1"/>
  <c r="AC326" i="1"/>
  <c r="AG326" i="1" s="1"/>
  <c r="AF326" i="1" s="1"/>
  <c r="L334" i="1"/>
  <c r="X339" i="1" l="1"/>
  <c r="P339" i="1"/>
  <c r="AQ340" i="1"/>
  <c r="AP340" i="1"/>
  <c r="AO340" i="1"/>
  <c r="AN340" i="1"/>
  <c r="AL340" i="1"/>
  <c r="AK340" i="1"/>
  <c r="AJ340" i="1"/>
  <c r="AI340" i="1"/>
  <c r="AE340" i="1"/>
  <c r="AA340" i="1"/>
  <c r="Z340" i="1"/>
  <c r="U340" i="1"/>
  <c r="T340" i="1" s="1"/>
  <c r="AC340" i="1" s="1"/>
  <c r="AG340" i="1" s="1"/>
  <c r="AF340" i="1" s="1"/>
  <c r="AQ338" i="1"/>
  <c r="AP338" i="1"/>
  <c r="AO338" i="1"/>
  <c r="AN338" i="1"/>
  <c r="AL338" i="1"/>
  <c r="AK338" i="1"/>
  <c r="AJ338" i="1"/>
  <c r="AI338" i="1"/>
  <c r="AE338" i="1"/>
  <c r="AA338" i="1"/>
  <c r="Z338" i="1"/>
  <c r="U338" i="1"/>
  <c r="T338" i="1" s="1"/>
  <c r="AC338" i="1" s="1"/>
  <c r="AG338" i="1" s="1"/>
  <c r="AF338" i="1" s="1"/>
  <c r="Q338" i="1"/>
  <c r="P338" i="1"/>
  <c r="X338" i="1" s="1"/>
  <c r="X340" i="1" l="1"/>
  <c r="Q330" i="1"/>
  <c r="P330" i="1"/>
  <c r="X330" i="1" s="1"/>
  <c r="AQ330" i="1"/>
  <c r="AP330" i="1"/>
  <c r="AO330" i="1"/>
  <c r="AN330" i="1"/>
  <c r="AL330" i="1"/>
  <c r="AK330" i="1"/>
  <c r="AJ330" i="1"/>
  <c r="AI330" i="1"/>
  <c r="AE330" i="1"/>
  <c r="AA330" i="1"/>
  <c r="Z330" i="1"/>
  <c r="U330" i="1"/>
  <c r="T330" i="1" s="1"/>
  <c r="AC330" i="1" s="1"/>
  <c r="AG330" i="1" s="1"/>
  <c r="AF330" i="1" s="1"/>
  <c r="P320" i="1" l="1"/>
  <c r="P319" i="1"/>
  <c r="O319" i="1" l="1"/>
  <c r="P345" i="1" l="1"/>
  <c r="AQ329" i="1" l="1"/>
  <c r="AP329" i="1"/>
  <c r="AO329" i="1"/>
  <c r="AN329" i="1"/>
  <c r="AL329" i="1"/>
  <c r="AK329" i="1"/>
  <c r="AJ329" i="1"/>
  <c r="AI329" i="1"/>
  <c r="AE329" i="1"/>
  <c r="AA329" i="1"/>
  <c r="Z329" i="1"/>
  <c r="U329" i="1"/>
  <c r="T329" i="1" s="1"/>
  <c r="Q329" i="1" l="1"/>
  <c r="X329" i="1" s="1"/>
  <c r="AC329" i="1"/>
  <c r="AG329" i="1" s="1"/>
  <c r="AF329" i="1" s="1"/>
  <c r="X334" i="1"/>
  <c r="P334" i="1"/>
  <c r="O334" i="1"/>
  <c r="X341" i="1" l="1"/>
  <c r="P341" i="1"/>
  <c r="P328" i="1"/>
  <c r="O328" i="1"/>
  <c r="AQ328" i="1"/>
  <c r="AP328" i="1"/>
  <c r="AO328" i="1"/>
  <c r="AN328" i="1"/>
  <c r="AL328" i="1"/>
  <c r="AK328" i="1"/>
  <c r="AJ328" i="1"/>
  <c r="AI328" i="1"/>
  <c r="AE328" i="1"/>
  <c r="AA328" i="1"/>
  <c r="Z328" i="1"/>
  <c r="U328" i="1"/>
  <c r="T328" i="1" s="1"/>
  <c r="AC328" i="1" s="1"/>
  <c r="X328" i="1" l="1"/>
  <c r="AG328" i="1"/>
  <c r="AF328" i="1" s="1"/>
  <c r="X331" i="1"/>
  <c r="P331" i="1"/>
  <c r="AQ306" i="1" l="1"/>
  <c r="AP306" i="1"/>
  <c r="AO306" i="1"/>
  <c r="AN306" i="1"/>
  <c r="AL306" i="1"/>
  <c r="AK306" i="1"/>
  <c r="AJ306" i="1"/>
  <c r="AI306" i="1"/>
  <c r="AE306" i="1"/>
  <c r="AA306" i="1"/>
  <c r="Z306" i="1"/>
  <c r="U306" i="1"/>
  <c r="T306" i="1" s="1"/>
  <c r="AC306" i="1" s="1"/>
  <c r="AG306" i="1" s="1"/>
  <c r="AF306" i="1" s="1"/>
  <c r="Q306" i="1"/>
  <c r="X306" i="1" l="1"/>
  <c r="X369" i="1"/>
  <c r="P369" i="1"/>
  <c r="O305" i="1" l="1"/>
  <c r="Q307" i="1"/>
  <c r="P400" i="1" l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X386" i="1" s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Q373" i="1" s="1"/>
  <c r="X373" i="1" s="1"/>
  <c r="P370" i="1"/>
  <c r="Q369" i="1"/>
  <c r="P368" i="1"/>
  <c r="P366" i="1"/>
  <c r="P365" i="1"/>
  <c r="P364" i="1"/>
  <c r="O401" i="1"/>
  <c r="AQ400" i="1"/>
  <c r="AP400" i="1"/>
  <c r="AO400" i="1"/>
  <c r="AN400" i="1"/>
  <c r="AL400" i="1"/>
  <c r="AK400" i="1"/>
  <c r="AJ400" i="1"/>
  <c r="AI400" i="1"/>
  <c r="AE400" i="1"/>
  <c r="AA400" i="1"/>
  <c r="Z400" i="1"/>
  <c r="U400" i="1"/>
  <c r="T400" i="1" s="1"/>
  <c r="AC400" i="1" s="1"/>
  <c r="Q400" i="1"/>
  <c r="X400" i="1"/>
  <c r="AQ399" i="1"/>
  <c r="AP399" i="1"/>
  <c r="AO399" i="1"/>
  <c r="AN399" i="1"/>
  <c r="AL399" i="1"/>
  <c r="AK399" i="1"/>
  <c r="AJ399" i="1"/>
  <c r="AI399" i="1"/>
  <c r="AE399" i="1"/>
  <c r="AA399" i="1"/>
  <c r="Z399" i="1"/>
  <c r="U399" i="1"/>
  <c r="T399" i="1" s="1"/>
  <c r="Q399" i="1"/>
  <c r="X399" i="1" s="1"/>
  <c r="AQ398" i="1"/>
  <c r="AP398" i="1"/>
  <c r="AO398" i="1"/>
  <c r="AN398" i="1"/>
  <c r="AL398" i="1"/>
  <c r="AK398" i="1"/>
  <c r="AJ398" i="1"/>
  <c r="AI398" i="1"/>
  <c r="AE398" i="1"/>
  <c r="AA398" i="1"/>
  <c r="Z398" i="1"/>
  <c r="U398" i="1"/>
  <c r="T398" i="1" s="1"/>
  <c r="AC398" i="1" s="1"/>
  <c r="AG398" i="1" s="1"/>
  <c r="AF398" i="1" s="1"/>
  <c r="Q398" i="1"/>
  <c r="X398" i="1" s="1"/>
  <c r="AQ397" i="1"/>
  <c r="AP397" i="1"/>
  <c r="AO397" i="1"/>
  <c r="AN397" i="1"/>
  <c r="AL397" i="1"/>
  <c r="AK397" i="1"/>
  <c r="AJ397" i="1"/>
  <c r="AI397" i="1"/>
  <c r="AE397" i="1"/>
  <c r="AA397" i="1"/>
  <c r="Z397" i="1"/>
  <c r="U397" i="1"/>
  <c r="T397" i="1" s="1"/>
  <c r="AC397" i="1" s="1"/>
  <c r="AG397" i="1" s="1"/>
  <c r="AF397" i="1" s="1"/>
  <c r="Q397" i="1"/>
  <c r="X397" i="1" s="1"/>
  <c r="AQ396" i="1"/>
  <c r="AP396" i="1"/>
  <c r="AO396" i="1"/>
  <c r="AN396" i="1"/>
  <c r="AL396" i="1"/>
  <c r="AK396" i="1"/>
  <c r="AJ396" i="1"/>
  <c r="AI396" i="1"/>
  <c r="AE396" i="1"/>
  <c r="AA396" i="1"/>
  <c r="Z396" i="1"/>
  <c r="U396" i="1"/>
  <c r="T396" i="1" s="1"/>
  <c r="Q396" i="1"/>
  <c r="AQ395" i="1"/>
  <c r="AP395" i="1"/>
  <c r="AO395" i="1"/>
  <c r="AN395" i="1"/>
  <c r="AL395" i="1"/>
  <c r="AK395" i="1"/>
  <c r="AJ395" i="1"/>
  <c r="AI395" i="1"/>
  <c r="AE395" i="1"/>
  <c r="AA395" i="1"/>
  <c r="Z395" i="1"/>
  <c r="X395" i="1"/>
  <c r="U395" i="1"/>
  <c r="T395" i="1" s="1"/>
  <c r="Q395" i="1"/>
  <c r="AQ394" i="1"/>
  <c r="AP394" i="1"/>
  <c r="AO394" i="1"/>
  <c r="AN394" i="1"/>
  <c r="AL394" i="1"/>
  <c r="AK394" i="1"/>
  <c r="AJ394" i="1"/>
  <c r="AI394" i="1"/>
  <c r="AE394" i="1"/>
  <c r="AA394" i="1"/>
  <c r="Z394" i="1"/>
  <c r="U394" i="1"/>
  <c r="T394" i="1" s="1"/>
  <c r="Q394" i="1"/>
  <c r="X394" i="1" s="1"/>
  <c r="AQ393" i="1"/>
  <c r="AP393" i="1"/>
  <c r="AO393" i="1"/>
  <c r="AN393" i="1"/>
  <c r="AL393" i="1"/>
  <c r="AK393" i="1"/>
  <c r="AJ393" i="1"/>
  <c r="AI393" i="1"/>
  <c r="AE393" i="1"/>
  <c r="AA393" i="1"/>
  <c r="Z393" i="1"/>
  <c r="U393" i="1"/>
  <c r="T393" i="1"/>
  <c r="Q393" i="1"/>
  <c r="X393" i="1" s="1"/>
  <c r="AQ392" i="1"/>
  <c r="AP392" i="1"/>
  <c r="AO392" i="1"/>
  <c r="AN392" i="1"/>
  <c r="AL392" i="1"/>
  <c r="AK392" i="1"/>
  <c r="AJ392" i="1"/>
  <c r="AI392" i="1"/>
  <c r="AE392" i="1"/>
  <c r="AA392" i="1"/>
  <c r="Z392" i="1"/>
  <c r="U392" i="1"/>
  <c r="T392" i="1" s="1"/>
  <c r="AC392" i="1" s="1"/>
  <c r="AG392" i="1" s="1"/>
  <c r="AF392" i="1" s="1"/>
  <c r="Q392" i="1"/>
  <c r="X392" i="1" s="1"/>
  <c r="AQ391" i="1"/>
  <c r="AP391" i="1"/>
  <c r="AO391" i="1"/>
  <c r="AN391" i="1"/>
  <c r="AL391" i="1"/>
  <c r="AK391" i="1"/>
  <c r="AJ391" i="1"/>
  <c r="AI391" i="1"/>
  <c r="AE391" i="1"/>
  <c r="AA391" i="1"/>
  <c r="Z391" i="1"/>
  <c r="X391" i="1"/>
  <c r="U391" i="1"/>
  <c r="T391" i="1" s="1"/>
  <c r="AC391" i="1" s="1"/>
  <c r="AG391" i="1" s="1"/>
  <c r="AF391" i="1" s="1"/>
  <c r="Q391" i="1"/>
  <c r="AQ390" i="1"/>
  <c r="AP390" i="1"/>
  <c r="AO390" i="1"/>
  <c r="AN390" i="1"/>
  <c r="AL390" i="1"/>
  <c r="AK390" i="1"/>
  <c r="AJ390" i="1"/>
  <c r="AI390" i="1"/>
  <c r="AE390" i="1"/>
  <c r="AA390" i="1"/>
  <c r="Z390" i="1"/>
  <c r="U390" i="1"/>
  <c r="T390" i="1"/>
  <c r="AC390" i="1" s="1"/>
  <c r="AG390" i="1" s="1"/>
  <c r="AF390" i="1" s="1"/>
  <c r="Q390" i="1"/>
  <c r="X390" i="1" s="1"/>
  <c r="AQ389" i="1"/>
  <c r="AP389" i="1"/>
  <c r="AO389" i="1"/>
  <c r="AN389" i="1"/>
  <c r="AL389" i="1"/>
  <c r="AK389" i="1"/>
  <c r="AJ389" i="1"/>
  <c r="AI389" i="1"/>
  <c r="AE389" i="1"/>
  <c r="AA389" i="1"/>
  <c r="Z389" i="1"/>
  <c r="U389" i="1"/>
  <c r="T389" i="1"/>
  <c r="AC389" i="1" s="1"/>
  <c r="AG389" i="1" s="1"/>
  <c r="AF389" i="1" s="1"/>
  <c r="Q389" i="1"/>
  <c r="X389" i="1" s="1"/>
  <c r="AQ388" i="1"/>
  <c r="AP388" i="1"/>
  <c r="AO388" i="1"/>
  <c r="AN388" i="1"/>
  <c r="AL388" i="1"/>
  <c r="AK388" i="1"/>
  <c r="AJ388" i="1"/>
  <c r="AI388" i="1"/>
  <c r="AE388" i="1"/>
  <c r="AA388" i="1"/>
  <c r="Z388" i="1"/>
  <c r="U388" i="1"/>
  <c r="T388" i="1" s="1"/>
  <c r="Q388" i="1"/>
  <c r="AQ387" i="1"/>
  <c r="AP387" i="1"/>
  <c r="AO387" i="1"/>
  <c r="AN387" i="1"/>
  <c r="AL387" i="1"/>
  <c r="AK387" i="1"/>
  <c r="AJ387" i="1"/>
  <c r="AI387" i="1"/>
  <c r="AE387" i="1"/>
  <c r="AA387" i="1"/>
  <c r="Z387" i="1"/>
  <c r="U387" i="1"/>
  <c r="T387" i="1"/>
  <c r="Q387" i="1"/>
  <c r="X387" i="1" s="1"/>
  <c r="AQ386" i="1"/>
  <c r="AP386" i="1"/>
  <c r="AO386" i="1"/>
  <c r="AN386" i="1"/>
  <c r="AL386" i="1"/>
  <c r="AK386" i="1"/>
  <c r="AJ386" i="1"/>
  <c r="AI386" i="1"/>
  <c r="AE386" i="1"/>
  <c r="AA386" i="1"/>
  <c r="Z386" i="1"/>
  <c r="U386" i="1"/>
  <c r="T386" i="1" s="1"/>
  <c r="Q386" i="1"/>
  <c r="AQ385" i="1"/>
  <c r="AP385" i="1"/>
  <c r="AO385" i="1"/>
  <c r="AN385" i="1"/>
  <c r="AL385" i="1"/>
  <c r="AK385" i="1"/>
  <c r="AJ385" i="1"/>
  <c r="AI385" i="1"/>
  <c r="AE385" i="1"/>
  <c r="AA385" i="1"/>
  <c r="Z385" i="1"/>
  <c r="U385" i="1"/>
  <c r="T385" i="1"/>
  <c r="Q385" i="1"/>
  <c r="X385" i="1" s="1"/>
  <c r="AQ384" i="1"/>
  <c r="AP384" i="1"/>
  <c r="AO384" i="1"/>
  <c r="AN384" i="1"/>
  <c r="AL384" i="1"/>
  <c r="AK384" i="1"/>
  <c r="AJ384" i="1"/>
  <c r="AI384" i="1"/>
  <c r="AE384" i="1"/>
  <c r="AA384" i="1"/>
  <c r="Z384" i="1"/>
  <c r="U384" i="1"/>
  <c r="T384" i="1" s="1"/>
  <c r="AC384" i="1" s="1"/>
  <c r="AG384" i="1" s="1"/>
  <c r="AF384" i="1" s="1"/>
  <c r="Q384" i="1"/>
  <c r="X384" i="1" s="1"/>
  <c r="AQ383" i="1"/>
  <c r="AP383" i="1"/>
  <c r="AO383" i="1"/>
  <c r="AN383" i="1"/>
  <c r="AL383" i="1"/>
  <c r="AK383" i="1"/>
  <c r="AJ383" i="1"/>
  <c r="AI383" i="1"/>
  <c r="AE383" i="1"/>
  <c r="AA383" i="1"/>
  <c r="Z383" i="1"/>
  <c r="X383" i="1"/>
  <c r="U383" i="1"/>
  <c r="T383" i="1" s="1"/>
  <c r="AC383" i="1" s="1"/>
  <c r="AG383" i="1" s="1"/>
  <c r="AF383" i="1" s="1"/>
  <c r="Q383" i="1"/>
  <c r="AQ382" i="1"/>
  <c r="AP382" i="1"/>
  <c r="AO382" i="1"/>
  <c r="AN382" i="1"/>
  <c r="AL382" i="1"/>
  <c r="AK382" i="1"/>
  <c r="AJ382" i="1"/>
  <c r="AI382" i="1"/>
  <c r="AE382" i="1"/>
  <c r="AA382" i="1"/>
  <c r="AC382" i="1" s="1"/>
  <c r="AG382" i="1" s="1"/>
  <c r="AF382" i="1" s="1"/>
  <c r="Z382" i="1"/>
  <c r="U382" i="1"/>
  <c r="T382" i="1"/>
  <c r="Q382" i="1"/>
  <c r="X382" i="1" s="1"/>
  <c r="AQ381" i="1"/>
  <c r="AP381" i="1"/>
  <c r="AO381" i="1"/>
  <c r="AN381" i="1"/>
  <c r="AL381" i="1"/>
  <c r="AK381" i="1"/>
  <c r="AJ381" i="1"/>
  <c r="AI381" i="1"/>
  <c r="AE381" i="1"/>
  <c r="AA381" i="1"/>
  <c r="Z381" i="1"/>
  <c r="U381" i="1"/>
  <c r="T381" i="1"/>
  <c r="AC381" i="1" s="1"/>
  <c r="AG381" i="1" s="1"/>
  <c r="AF381" i="1" s="1"/>
  <c r="Q381" i="1"/>
  <c r="X381" i="1" s="1"/>
  <c r="AQ380" i="1"/>
  <c r="AP380" i="1"/>
  <c r="AO380" i="1"/>
  <c r="AN380" i="1"/>
  <c r="AL380" i="1"/>
  <c r="AK380" i="1"/>
  <c r="AJ380" i="1"/>
  <c r="AI380" i="1"/>
  <c r="AE380" i="1"/>
  <c r="AA380" i="1"/>
  <c r="Z380" i="1"/>
  <c r="U380" i="1"/>
  <c r="T380" i="1" s="1"/>
  <c r="Q380" i="1"/>
  <c r="AQ379" i="1"/>
  <c r="AP379" i="1"/>
  <c r="AO379" i="1"/>
  <c r="AN379" i="1"/>
  <c r="AL379" i="1"/>
  <c r="AK379" i="1"/>
  <c r="AJ379" i="1"/>
  <c r="AI379" i="1"/>
  <c r="AE379" i="1"/>
  <c r="AA379" i="1"/>
  <c r="Z379" i="1"/>
  <c r="U379" i="1"/>
  <c r="T379" i="1"/>
  <c r="X379" i="1"/>
  <c r="AQ378" i="1"/>
  <c r="AP378" i="1"/>
  <c r="AO378" i="1"/>
  <c r="AN378" i="1"/>
  <c r="AL378" i="1"/>
  <c r="AK378" i="1"/>
  <c r="AJ378" i="1"/>
  <c r="AI378" i="1"/>
  <c r="AE378" i="1"/>
  <c r="AA378" i="1"/>
  <c r="Z378" i="1"/>
  <c r="U378" i="1"/>
  <c r="T378" i="1" s="1"/>
  <c r="Q378" i="1"/>
  <c r="X378" i="1" s="1"/>
  <c r="AQ377" i="1"/>
  <c r="AP377" i="1"/>
  <c r="AO377" i="1"/>
  <c r="AN377" i="1"/>
  <c r="AL377" i="1"/>
  <c r="AK377" i="1"/>
  <c r="AJ377" i="1"/>
  <c r="AI377" i="1"/>
  <c r="AE377" i="1"/>
  <c r="AA377" i="1"/>
  <c r="Z377" i="1"/>
  <c r="U377" i="1"/>
  <c r="T377" i="1"/>
  <c r="AC377" i="1" s="1"/>
  <c r="AG377" i="1" s="1"/>
  <c r="AF377" i="1" s="1"/>
  <c r="Q377" i="1"/>
  <c r="X377" i="1" s="1"/>
  <c r="AQ376" i="1"/>
  <c r="AP376" i="1"/>
  <c r="AO376" i="1"/>
  <c r="AN376" i="1"/>
  <c r="AL376" i="1"/>
  <c r="AK376" i="1"/>
  <c r="AJ376" i="1"/>
  <c r="AI376" i="1"/>
  <c r="AE376" i="1"/>
  <c r="AA376" i="1"/>
  <c r="Z376" i="1"/>
  <c r="U376" i="1"/>
  <c r="T376" i="1" s="1"/>
  <c r="AC376" i="1" s="1"/>
  <c r="AG376" i="1" s="1"/>
  <c r="AF376" i="1" s="1"/>
  <c r="Q376" i="1"/>
  <c r="X376" i="1" s="1"/>
  <c r="AQ375" i="1"/>
  <c r="AP375" i="1"/>
  <c r="AO375" i="1"/>
  <c r="AN375" i="1"/>
  <c r="AL375" i="1"/>
  <c r="AK375" i="1"/>
  <c r="AJ375" i="1"/>
  <c r="AI375" i="1"/>
  <c r="AE375" i="1"/>
  <c r="AA375" i="1"/>
  <c r="Z375" i="1"/>
  <c r="X375" i="1"/>
  <c r="U375" i="1"/>
  <c r="T375" i="1" s="1"/>
  <c r="AC375" i="1" s="1"/>
  <c r="AG375" i="1" s="1"/>
  <c r="AF375" i="1" s="1"/>
  <c r="Q375" i="1"/>
  <c r="AQ374" i="1"/>
  <c r="AP374" i="1"/>
  <c r="AO374" i="1"/>
  <c r="AN374" i="1"/>
  <c r="AL374" i="1"/>
  <c r="AK374" i="1"/>
  <c r="AJ374" i="1"/>
  <c r="AI374" i="1"/>
  <c r="AE374" i="1"/>
  <c r="AA374" i="1"/>
  <c r="AC374" i="1" s="1"/>
  <c r="AG374" i="1" s="1"/>
  <c r="AF374" i="1" s="1"/>
  <c r="Z374" i="1"/>
  <c r="U374" i="1"/>
  <c r="T374" i="1"/>
  <c r="Q374" i="1"/>
  <c r="X374" i="1" s="1"/>
  <c r="AQ373" i="1"/>
  <c r="AP373" i="1"/>
  <c r="AO373" i="1"/>
  <c r="AN373" i="1"/>
  <c r="AL373" i="1"/>
  <c r="AK373" i="1"/>
  <c r="AJ373" i="1"/>
  <c r="AI373" i="1"/>
  <c r="AE373" i="1"/>
  <c r="AA373" i="1"/>
  <c r="Z373" i="1"/>
  <c r="U373" i="1"/>
  <c r="T373" i="1"/>
  <c r="AQ372" i="1"/>
  <c r="AP372" i="1"/>
  <c r="AO372" i="1"/>
  <c r="AN372" i="1"/>
  <c r="AL372" i="1"/>
  <c r="AK372" i="1"/>
  <c r="AJ372" i="1"/>
  <c r="AI372" i="1"/>
  <c r="AE372" i="1"/>
  <c r="AA372" i="1"/>
  <c r="Z372" i="1"/>
  <c r="U372" i="1"/>
  <c r="T372" i="1" s="1"/>
  <c r="AC372" i="1" s="1"/>
  <c r="AQ371" i="1"/>
  <c r="AP371" i="1"/>
  <c r="AO371" i="1"/>
  <c r="AN371" i="1"/>
  <c r="AL371" i="1"/>
  <c r="AK371" i="1"/>
  <c r="AJ371" i="1"/>
  <c r="AI371" i="1"/>
  <c r="AE371" i="1"/>
  <c r="AA371" i="1"/>
  <c r="Z371" i="1"/>
  <c r="U371" i="1"/>
  <c r="T371" i="1" s="1"/>
  <c r="AQ370" i="1"/>
  <c r="AP370" i="1"/>
  <c r="AO370" i="1"/>
  <c r="AN370" i="1"/>
  <c r="AL370" i="1"/>
  <c r="AK370" i="1"/>
  <c r="AJ370" i="1"/>
  <c r="AI370" i="1"/>
  <c r="AE370" i="1"/>
  <c r="AA370" i="1"/>
  <c r="Z370" i="1"/>
  <c r="U370" i="1"/>
  <c r="T370" i="1" s="1"/>
  <c r="Q370" i="1"/>
  <c r="AQ369" i="1"/>
  <c r="AP369" i="1"/>
  <c r="AO369" i="1"/>
  <c r="AN369" i="1"/>
  <c r="AL369" i="1"/>
  <c r="AK369" i="1"/>
  <c r="AJ369" i="1"/>
  <c r="AI369" i="1"/>
  <c r="AE369" i="1"/>
  <c r="AA369" i="1"/>
  <c r="Z369" i="1"/>
  <c r="U369" i="1"/>
  <c r="T369" i="1"/>
  <c r="AQ368" i="1"/>
  <c r="AP368" i="1"/>
  <c r="AO368" i="1"/>
  <c r="AN368" i="1"/>
  <c r="AL368" i="1"/>
  <c r="AK368" i="1"/>
  <c r="AJ368" i="1"/>
  <c r="AI368" i="1"/>
  <c r="AE368" i="1"/>
  <c r="AA368" i="1"/>
  <c r="Z368" i="1"/>
  <c r="U368" i="1"/>
  <c r="T368" i="1"/>
  <c r="Q368" i="1"/>
  <c r="X368" i="1" s="1"/>
  <c r="AQ367" i="1"/>
  <c r="AP367" i="1"/>
  <c r="AO367" i="1"/>
  <c r="AN367" i="1"/>
  <c r="AL367" i="1"/>
  <c r="AK367" i="1"/>
  <c r="AJ367" i="1"/>
  <c r="AI367" i="1"/>
  <c r="AE367" i="1"/>
  <c r="AA367" i="1"/>
  <c r="Z367" i="1"/>
  <c r="U367" i="1"/>
  <c r="T367" i="1" s="1"/>
  <c r="AQ366" i="1"/>
  <c r="AP366" i="1"/>
  <c r="AO366" i="1"/>
  <c r="AN366" i="1"/>
  <c r="AL366" i="1"/>
  <c r="AK366" i="1"/>
  <c r="AJ366" i="1"/>
  <c r="AI366" i="1"/>
  <c r="AE366" i="1"/>
  <c r="AA366" i="1"/>
  <c r="Z366" i="1"/>
  <c r="U366" i="1"/>
  <c r="T366" i="1"/>
  <c r="AC366" i="1" s="1"/>
  <c r="AG366" i="1" s="1"/>
  <c r="AF366" i="1" s="1"/>
  <c r="Q366" i="1"/>
  <c r="X366" i="1" s="1"/>
  <c r="AQ365" i="1"/>
  <c r="AP365" i="1"/>
  <c r="AO365" i="1"/>
  <c r="AN365" i="1"/>
  <c r="AL365" i="1"/>
  <c r="AK365" i="1"/>
  <c r="AJ365" i="1"/>
  <c r="AI365" i="1"/>
  <c r="AE365" i="1"/>
  <c r="AA365" i="1"/>
  <c r="Z365" i="1"/>
  <c r="U365" i="1"/>
  <c r="T365" i="1" s="1"/>
  <c r="AC365" i="1" s="1"/>
  <c r="AG365" i="1" s="1"/>
  <c r="AF365" i="1" s="1"/>
  <c r="Q365" i="1"/>
  <c r="X365" i="1" s="1"/>
  <c r="AQ364" i="1"/>
  <c r="AP364" i="1"/>
  <c r="AO364" i="1"/>
  <c r="AN364" i="1"/>
  <c r="AL364" i="1"/>
  <c r="AK364" i="1"/>
  <c r="AJ364" i="1"/>
  <c r="AI364" i="1"/>
  <c r="AE364" i="1"/>
  <c r="AA364" i="1"/>
  <c r="Z364" i="1"/>
  <c r="U364" i="1"/>
  <c r="T364" i="1" s="1"/>
  <c r="AC364" i="1" s="1"/>
  <c r="Q364" i="1"/>
  <c r="X364" i="1" s="1"/>
  <c r="E364" i="1"/>
  <c r="F364" i="1" s="1"/>
  <c r="Q372" i="1" l="1"/>
  <c r="AK401" i="1"/>
  <c r="AP401" i="1"/>
  <c r="AQ401" i="1"/>
  <c r="AC373" i="1"/>
  <c r="AA401" i="1"/>
  <c r="AB401" i="1" s="1"/>
  <c r="AG364" i="1"/>
  <c r="X370" i="1"/>
  <c r="X380" i="1"/>
  <c r="X388" i="1"/>
  <c r="X396" i="1"/>
  <c r="X372" i="1"/>
  <c r="AI401" i="1"/>
  <c r="AJ401" i="1"/>
  <c r="AL401" i="1"/>
  <c r="AN401" i="1"/>
  <c r="Z401" i="1"/>
  <c r="Y401" i="1" s="1"/>
  <c r="AO401" i="1"/>
  <c r="AE401" i="1"/>
  <c r="AC370" i="1"/>
  <c r="AG370" i="1" s="1"/>
  <c r="AF370" i="1" s="1"/>
  <c r="AG373" i="1"/>
  <c r="AF373" i="1" s="1"/>
  <c r="AC369" i="1"/>
  <c r="AG369" i="1" s="1"/>
  <c r="AF369" i="1" s="1"/>
  <c r="AC380" i="1"/>
  <c r="AG380" i="1" s="1"/>
  <c r="AF380" i="1" s="1"/>
  <c r="AC388" i="1"/>
  <c r="AG388" i="1" s="1"/>
  <c r="AF388" i="1" s="1"/>
  <c r="AC396" i="1"/>
  <c r="AG396" i="1" s="1"/>
  <c r="AF396" i="1" s="1"/>
  <c r="AG372" i="1"/>
  <c r="AF372" i="1" s="1"/>
  <c r="AC379" i="1"/>
  <c r="AG379" i="1" s="1"/>
  <c r="AF379" i="1" s="1"/>
  <c r="AC387" i="1"/>
  <c r="AG387" i="1" s="1"/>
  <c r="AF387" i="1" s="1"/>
  <c r="AC395" i="1"/>
  <c r="AG395" i="1" s="1"/>
  <c r="AF395" i="1" s="1"/>
  <c r="AG400" i="1"/>
  <c r="AF400" i="1" s="1"/>
  <c r="AC368" i="1"/>
  <c r="AG368" i="1" s="1"/>
  <c r="AF368" i="1" s="1"/>
  <c r="AC386" i="1"/>
  <c r="AG386" i="1" s="1"/>
  <c r="AF386" i="1" s="1"/>
  <c r="AC394" i="1"/>
  <c r="AG394" i="1" s="1"/>
  <c r="AF394" i="1" s="1"/>
  <c r="AC378" i="1"/>
  <c r="AG378" i="1" s="1"/>
  <c r="AF378" i="1" s="1"/>
  <c r="AC385" i="1"/>
  <c r="AG385" i="1" s="1"/>
  <c r="AF385" i="1" s="1"/>
  <c r="AC393" i="1"/>
  <c r="AG393" i="1" s="1"/>
  <c r="AF393" i="1" s="1"/>
  <c r="AC399" i="1"/>
  <c r="AG399" i="1" s="1"/>
  <c r="AF399" i="1" s="1"/>
  <c r="Q371" i="1"/>
  <c r="X371" i="1" s="1"/>
  <c r="AC371" i="1"/>
  <c r="AG371" i="1" s="1"/>
  <c r="AF371" i="1" s="1"/>
  <c r="AF364" i="1"/>
  <c r="Q367" i="1"/>
  <c r="X367" i="1" s="1"/>
  <c r="AC367" i="1"/>
  <c r="AG367" i="1" s="1"/>
  <c r="AF367" i="1" s="1"/>
  <c r="D401" i="1"/>
  <c r="H401" i="1"/>
  <c r="J401" i="1" s="1"/>
  <c r="AR401" i="1" l="1"/>
  <c r="Q401" i="1"/>
  <c r="AM401" i="1"/>
  <c r="AG401" i="1"/>
  <c r="AH401" i="1" s="1"/>
  <c r="AF401" i="1"/>
  <c r="M401" i="1" s="1"/>
  <c r="W2" i="1" l="1"/>
  <c r="AQ288" i="1"/>
  <c r="AP288" i="1"/>
  <c r="AO288" i="1"/>
  <c r="AN288" i="1"/>
  <c r="AL288" i="1"/>
  <c r="AK288" i="1"/>
  <c r="AJ288" i="1"/>
  <c r="AI288" i="1"/>
  <c r="AA288" i="1"/>
  <c r="Z288" i="1"/>
  <c r="U288" i="1"/>
  <c r="T288" i="1" s="1"/>
  <c r="P288" i="1"/>
  <c r="Q288" i="1" s="1"/>
  <c r="X288" i="1" s="1"/>
  <c r="E288" i="1"/>
  <c r="F288" i="1" s="1"/>
  <c r="AE288" i="1" s="1"/>
  <c r="AC288" i="1" l="1"/>
  <c r="AG288" i="1" s="1"/>
  <c r="AF288" i="1" s="1"/>
  <c r="P3" i="1"/>
  <c r="X4" i="1"/>
  <c r="W4" i="1"/>
  <c r="X322" i="1" l="1"/>
  <c r="Q322" i="1"/>
  <c r="P322" i="1"/>
  <c r="P295" i="1" l="1"/>
  <c r="O308" i="1" l="1"/>
  <c r="P283" i="1" l="1"/>
  <c r="Q283" i="1" s="1"/>
  <c r="AQ283" i="1"/>
  <c r="AP283" i="1"/>
  <c r="AO283" i="1"/>
  <c r="AN283" i="1"/>
  <c r="AL283" i="1"/>
  <c r="AK283" i="1"/>
  <c r="AJ283" i="1"/>
  <c r="AI283" i="1"/>
  <c r="AA283" i="1"/>
  <c r="Z283" i="1"/>
  <c r="U283" i="1"/>
  <c r="T283" i="1" s="1"/>
  <c r="E283" i="1"/>
  <c r="F283" i="1" s="1"/>
  <c r="AE283" i="1" s="1"/>
  <c r="X283" i="1" l="1"/>
  <c r="AC283" i="1"/>
  <c r="AG283" i="1" s="1"/>
  <c r="AF283" i="1" s="1"/>
  <c r="G9" i="1"/>
  <c r="G10" i="1"/>
  <c r="M11" i="1"/>
  <c r="G11" i="1"/>
  <c r="P313" i="1" l="1"/>
  <c r="X291" i="1" l="1"/>
  <c r="O291" i="1"/>
  <c r="P291" i="1"/>
  <c r="P293" i="1" l="1"/>
  <c r="Q293" i="1" s="1"/>
  <c r="X293" i="1" s="1"/>
  <c r="O293" i="1"/>
  <c r="AQ293" i="1"/>
  <c r="AP293" i="1"/>
  <c r="AO293" i="1"/>
  <c r="AN293" i="1"/>
  <c r="AL293" i="1"/>
  <c r="AK293" i="1"/>
  <c r="AJ293" i="1"/>
  <c r="AI293" i="1"/>
  <c r="AE293" i="1"/>
  <c r="AA293" i="1"/>
  <c r="Z293" i="1"/>
  <c r="U293" i="1"/>
  <c r="T293" i="1" s="1"/>
  <c r="AC293" i="1" s="1"/>
  <c r="E293" i="1"/>
  <c r="F293" i="1" s="1"/>
  <c r="E294" i="1"/>
  <c r="F294" i="1" s="1"/>
  <c r="AE294" i="1" s="1"/>
  <c r="O294" i="1"/>
  <c r="P294" i="1"/>
  <c r="T294" i="1"/>
  <c r="AC294" i="1" s="1"/>
  <c r="U294" i="1"/>
  <c r="AA294" i="1"/>
  <c r="AI294" i="1"/>
  <c r="AJ294" i="1"/>
  <c r="AK294" i="1"/>
  <c r="AL294" i="1"/>
  <c r="AN294" i="1"/>
  <c r="AO294" i="1"/>
  <c r="AP294" i="1"/>
  <c r="AQ294" i="1"/>
  <c r="AQ295" i="1"/>
  <c r="AP295" i="1"/>
  <c r="AO295" i="1"/>
  <c r="AN295" i="1"/>
  <c r="AL295" i="1"/>
  <c r="AK295" i="1"/>
  <c r="AJ295" i="1"/>
  <c r="AI295" i="1"/>
  <c r="AE295" i="1"/>
  <c r="AA295" i="1"/>
  <c r="Z295" i="1"/>
  <c r="U295" i="1"/>
  <c r="T295" i="1"/>
  <c r="Q295" i="1"/>
  <c r="E295" i="1"/>
  <c r="F295" i="1" s="1"/>
  <c r="E316" i="1"/>
  <c r="F316" i="1" s="1"/>
  <c r="Q361" i="1"/>
  <c r="Q360" i="1"/>
  <c r="Q359" i="1"/>
  <c r="Q357" i="1"/>
  <c r="Q356" i="1"/>
  <c r="Q355" i="1"/>
  <c r="Q354" i="1"/>
  <c r="Q351" i="1"/>
  <c r="Q348" i="1"/>
  <c r="Q347" i="1"/>
  <c r="Q344" i="1"/>
  <c r="Q343" i="1"/>
  <c r="Q342" i="1"/>
  <c r="Q339" i="1"/>
  <c r="Q337" i="1"/>
  <c r="Q336" i="1"/>
  <c r="Q335" i="1"/>
  <c r="Q333" i="1"/>
  <c r="Q332" i="1"/>
  <c r="Q331" i="1"/>
  <c r="Q325" i="1"/>
  <c r="Q323" i="1"/>
  <c r="Q321" i="1"/>
  <c r="Q324" i="1"/>
  <c r="X324" i="1" s="1"/>
  <c r="P361" i="1"/>
  <c r="P360" i="1"/>
  <c r="P359" i="1"/>
  <c r="P357" i="1"/>
  <c r="P356" i="1"/>
  <c r="P355" i="1"/>
  <c r="P354" i="1"/>
  <c r="Q352" i="1"/>
  <c r="P351" i="1"/>
  <c r="P348" i="1"/>
  <c r="P347" i="1"/>
  <c r="Q345" i="1"/>
  <c r="P344" i="1"/>
  <c r="P343" i="1"/>
  <c r="P342" i="1"/>
  <c r="P337" i="1"/>
  <c r="P336" i="1"/>
  <c r="P335" i="1"/>
  <c r="Q334" i="1"/>
  <c r="P333" i="1"/>
  <c r="P332" i="1"/>
  <c r="P325" i="1"/>
  <c r="P323" i="1"/>
  <c r="P321" i="1"/>
  <c r="Q320" i="1"/>
  <c r="AQ361" i="1"/>
  <c r="AP361" i="1"/>
  <c r="AO361" i="1"/>
  <c r="AN361" i="1"/>
  <c r="AL361" i="1"/>
  <c r="AK361" i="1"/>
  <c r="AJ361" i="1"/>
  <c r="AI361" i="1"/>
  <c r="AE361" i="1"/>
  <c r="AA361" i="1"/>
  <c r="Z361" i="1"/>
  <c r="U361" i="1"/>
  <c r="T361" i="1"/>
  <c r="AQ360" i="1"/>
  <c r="AP360" i="1"/>
  <c r="AO360" i="1"/>
  <c r="AN360" i="1"/>
  <c r="AL360" i="1"/>
  <c r="AK360" i="1"/>
  <c r="AJ360" i="1"/>
  <c r="AI360" i="1"/>
  <c r="AE360" i="1"/>
  <c r="AA360" i="1"/>
  <c r="Z360" i="1"/>
  <c r="U360" i="1"/>
  <c r="T360" i="1" s="1"/>
  <c r="AC360" i="1" s="1"/>
  <c r="AQ359" i="1"/>
  <c r="AP359" i="1"/>
  <c r="AO359" i="1"/>
  <c r="AN359" i="1"/>
  <c r="AL359" i="1"/>
  <c r="AK359" i="1"/>
  <c r="AJ359" i="1"/>
  <c r="AI359" i="1"/>
  <c r="AE359" i="1"/>
  <c r="AA359" i="1"/>
  <c r="Z359" i="1"/>
  <c r="U359" i="1"/>
  <c r="T359" i="1" s="1"/>
  <c r="AQ358" i="1"/>
  <c r="AP358" i="1"/>
  <c r="AO358" i="1"/>
  <c r="AN358" i="1"/>
  <c r="AL358" i="1"/>
  <c r="AK358" i="1"/>
  <c r="AJ358" i="1"/>
  <c r="AI358" i="1"/>
  <c r="AE358" i="1"/>
  <c r="AA358" i="1"/>
  <c r="Z358" i="1"/>
  <c r="U358" i="1"/>
  <c r="T358" i="1" s="1"/>
  <c r="AC358" i="1" s="1"/>
  <c r="AQ357" i="1"/>
  <c r="AP357" i="1"/>
  <c r="AO357" i="1"/>
  <c r="AN357" i="1"/>
  <c r="AL357" i="1"/>
  <c r="AK357" i="1"/>
  <c r="AJ357" i="1"/>
  <c r="AI357" i="1"/>
  <c r="AE357" i="1"/>
  <c r="AA357" i="1"/>
  <c r="Z357" i="1"/>
  <c r="U357" i="1"/>
  <c r="T357" i="1" s="1"/>
  <c r="AQ356" i="1"/>
  <c r="AP356" i="1"/>
  <c r="AO356" i="1"/>
  <c r="AN356" i="1"/>
  <c r="AL356" i="1"/>
  <c r="AK356" i="1"/>
  <c r="AJ356" i="1"/>
  <c r="AI356" i="1"/>
  <c r="AE356" i="1"/>
  <c r="AA356" i="1"/>
  <c r="Z356" i="1"/>
  <c r="U356" i="1"/>
  <c r="T356" i="1" s="1"/>
  <c r="AQ355" i="1"/>
  <c r="AP355" i="1"/>
  <c r="AO355" i="1"/>
  <c r="AN355" i="1"/>
  <c r="AL355" i="1"/>
  <c r="AK355" i="1"/>
  <c r="AJ355" i="1"/>
  <c r="AI355" i="1"/>
  <c r="AE355" i="1"/>
  <c r="AA355" i="1"/>
  <c r="Z355" i="1"/>
  <c r="U355" i="1"/>
  <c r="T355" i="1" s="1"/>
  <c r="AQ354" i="1"/>
  <c r="AP354" i="1"/>
  <c r="AO354" i="1"/>
  <c r="AN354" i="1"/>
  <c r="AL354" i="1"/>
  <c r="AK354" i="1"/>
  <c r="AJ354" i="1"/>
  <c r="AI354" i="1"/>
  <c r="AE354" i="1"/>
  <c r="AA354" i="1"/>
  <c r="Z354" i="1"/>
  <c r="U354" i="1"/>
  <c r="T354" i="1" s="1"/>
  <c r="AQ353" i="1"/>
  <c r="AP353" i="1"/>
  <c r="AO353" i="1"/>
  <c r="AN353" i="1"/>
  <c r="AL353" i="1"/>
  <c r="AK353" i="1"/>
  <c r="AJ353" i="1"/>
  <c r="AI353" i="1"/>
  <c r="AE353" i="1"/>
  <c r="AA353" i="1"/>
  <c r="U353" i="1"/>
  <c r="T353" i="1" s="1"/>
  <c r="Q353" i="1" s="1"/>
  <c r="Z353" i="1" s="1"/>
  <c r="AQ352" i="1"/>
  <c r="AP352" i="1"/>
  <c r="AO352" i="1"/>
  <c r="AN352" i="1"/>
  <c r="AL352" i="1"/>
  <c r="AK352" i="1"/>
  <c r="AJ352" i="1"/>
  <c r="AI352" i="1"/>
  <c r="AE352" i="1"/>
  <c r="AA352" i="1"/>
  <c r="Z352" i="1"/>
  <c r="U352" i="1"/>
  <c r="T352" i="1"/>
  <c r="AQ351" i="1"/>
  <c r="AP351" i="1"/>
  <c r="AO351" i="1"/>
  <c r="AN351" i="1"/>
  <c r="AL351" i="1"/>
  <c r="AK351" i="1"/>
  <c r="AJ351" i="1"/>
  <c r="AI351" i="1"/>
  <c r="AE351" i="1"/>
  <c r="AA351" i="1"/>
  <c r="Z351" i="1"/>
  <c r="U351" i="1"/>
  <c r="T351" i="1" s="1"/>
  <c r="AQ350" i="1"/>
  <c r="AP350" i="1"/>
  <c r="AO350" i="1"/>
  <c r="AN350" i="1"/>
  <c r="AL350" i="1"/>
  <c r="AK350" i="1"/>
  <c r="AJ350" i="1"/>
  <c r="AI350" i="1"/>
  <c r="AE350" i="1"/>
  <c r="AA350" i="1"/>
  <c r="Z350" i="1"/>
  <c r="U350" i="1"/>
  <c r="T350" i="1"/>
  <c r="AQ349" i="1"/>
  <c r="AP349" i="1"/>
  <c r="AO349" i="1"/>
  <c r="AN349" i="1"/>
  <c r="AL349" i="1"/>
  <c r="AK349" i="1"/>
  <c r="AJ349" i="1"/>
  <c r="AI349" i="1"/>
  <c r="AE349" i="1"/>
  <c r="AA349" i="1"/>
  <c r="Z349" i="1"/>
  <c r="U349" i="1"/>
  <c r="T349" i="1"/>
  <c r="AQ348" i="1"/>
  <c r="AP348" i="1"/>
  <c r="AO348" i="1"/>
  <c r="AN348" i="1"/>
  <c r="AL348" i="1"/>
  <c r="AK348" i="1"/>
  <c r="AJ348" i="1"/>
  <c r="AI348" i="1"/>
  <c r="AE348" i="1"/>
  <c r="AA348" i="1"/>
  <c r="Z348" i="1"/>
  <c r="U348" i="1"/>
  <c r="T348" i="1"/>
  <c r="AQ347" i="1"/>
  <c r="AP347" i="1"/>
  <c r="AO347" i="1"/>
  <c r="AN347" i="1"/>
  <c r="AL347" i="1"/>
  <c r="AK347" i="1"/>
  <c r="AJ347" i="1"/>
  <c r="AI347" i="1"/>
  <c r="AA347" i="1"/>
  <c r="Z347" i="1"/>
  <c r="U347" i="1"/>
  <c r="T347" i="1"/>
  <c r="AE347" i="1"/>
  <c r="AQ346" i="1"/>
  <c r="AP346" i="1"/>
  <c r="AO346" i="1"/>
  <c r="AN346" i="1"/>
  <c r="AL346" i="1"/>
  <c r="AK346" i="1"/>
  <c r="AJ346" i="1"/>
  <c r="AI346" i="1"/>
  <c r="AA346" i="1"/>
  <c r="Z346" i="1"/>
  <c r="U346" i="1"/>
  <c r="T346" i="1" s="1"/>
  <c r="AE346" i="1"/>
  <c r="AQ345" i="1"/>
  <c r="AP345" i="1"/>
  <c r="AO345" i="1"/>
  <c r="AN345" i="1"/>
  <c r="AL345" i="1"/>
  <c r="AK345" i="1"/>
  <c r="AJ345" i="1"/>
  <c r="AI345" i="1"/>
  <c r="AA345" i="1"/>
  <c r="Z345" i="1"/>
  <c r="U345" i="1"/>
  <c r="T345" i="1"/>
  <c r="AE345" i="1"/>
  <c r="AQ344" i="1"/>
  <c r="AP344" i="1"/>
  <c r="AO344" i="1"/>
  <c r="AN344" i="1"/>
  <c r="AL344" i="1"/>
  <c r="AK344" i="1"/>
  <c r="AJ344" i="1"/>
  <c r="AI344" i="1"/>
  <c r="AA344" i="1"/>
  <c r="Z344" i="1"/>
  <c r="U344" i="1"/>
  <c r="T344" i="1" s="1"/>
  <c r="AC344" i="1" s="1"/>
  <c r="AG344" i="1" s="1"/>
  <c r="AF344" i="1" s="1"/>
  <c r="AE344" i="1"/>
  <c r="AQ343" i="1"/>
  <c r="AP343" i="1"/>
  <c r="AO343" i="1"/>
  <c r="AN343" i="1"/>
  <c r="AL343" i="1"/>
  <c r="AK343" i="1"/>
  <c r="AJ343" i="1"/>
  <c r="AI343" i="1"/>
  <c r="AE343" i="1"/>
  <c r="AA343" i="1"/>
  <c r="Z343" i="1"/>
  <c r="U343" i="1"/>
  <c r="T343" i="1" s="1"/>
  <c r="AQ342" i="1"/>
  <c r="AP342" i="1"/>
  <c r="AO342" i="1"/>
  <c r="AN342" i="1"/>
  <c r="AL342" i="1"/>
  <c r="AK342" i="1"/>
  <c r="AJ342" i="1"/>
  <c r="AI342" i="1"/>
  <c r="AE342" i="1"/>
  <c r="AA342" i="1"/>
  <c r="Z342" i="1"/>
  <c r="U342" i="1"/>
  <c r="T342" i="1" s="1"/>
  <c r="AQ341" i="1"/>
  <c r="AP341" i="1"/>
  <c r="AO341" i="1"/>
  <c r="AN341" i="1"/>
  <c r="AL341" i="1"/>
  <c r="AK341" i="1"/>
  <c r="AJ341" i="1"/>
  <c r="AI341" i="1"/>
  <c r="AA341" i="1"/>
  <c r="U341" i="1"/>
  <c r="T341" i="1"/>
  <c r="Q341" i="1" s="1"/>
  <c r="AE341" i="1"/>
  <c r="AQ339" i="1"/>
  <c r="AP339" i="1"/>
  <c r="AO339" i="1"/>
  <c r="AN339" i="1"/>
  <c r="AL339" i="1"/>
  <c r="AK339" i="1"/>
  <c r="AJ339" i="1"/>
  <c r="AI339" i="1"/>
  <c r="AA339" i="1"/>
  <c r="Z339" i="1"/>
  <c r="U339" i="1"/>
  <c r="T339" i="1" s="1"/>
  <c r="AE339" i="1"/>
  <c r="AQ337" i="1"/>
  <c r="AP337" i="1"/>
  <c r="AO337" i="1"/>
  <c r="AN337" i="1"/>
  <c r="AL337" i="1"/>
  <c r="AK337" i="1"/>
  <c r="AJ337" i="1"/>
  <c r="AI337" i="1"/>
  <c r="AE337" i="1"/>
  <c r="AA337" i="1"/>
  <c r="Z337" i="1"/>
  <c r="U337" i="1"/>
  <c r="T337" i="1" s="1"/>
  <c r="AQ336" i="1"/>
  <c r="AP336" i="1"/>
  <c r="AO336" i="1"/>
  <c r="AN336" i="1"/>
  <c r="AL336" i="1"/>
  <c r="AK336" i="1"/>
  <c r="AJ336" i="1"/>
  <c r="AI336" i="1"/>
  <c r="AA336" i="1"/>
  <c r="Z336" i="1"/>
  <c r="U336" i="1"/>
  <c r="T336" i="1"/>
  <c r="AE336" i="1"/>
  <c r="AQ335" i="1"/>
  <c r="AP335" i="1"/>
  <c r="AO335" i="1"/>
  <c r="AN335" i="1"/>
  <c r="AL335" i="1"/>
  <c r="AK335" i="1"/>
  <c r="AJ335" i="1"/>
  <c r="AI335" i="1"/>
  <c r="AA335" i="1"/>
  <c r="U335" i="1"/>
  <c r="T335" i="1" s="1"/>
  <c r="AE335" i="1"/>
  <c r="AQ334" i="1"/>
  <c r="AP334" i="1"/>
  <c r="AO334" i="1"/>
  <c r="AN334" i="1"/>
  <c r="AL334" i="1"/>
  <c r="AK334" i="1"/>
  <c r="AJ334" i="1"/>
  <c r="AI334" i="1"/>
  <c r="AA334" i="1"/>
  <c r="Z334" i="1"/>
  <c r="U334" i="1"/>
  <c r="T334" i="1"/>
  <c r="AE334" i="1"/>
  <c r="AQ333" i="1"/>
  <c r="AP333" i="1"/>
  <c r="AO333" i="1"/>
  <c r="AN333" i="1"/>
  <c r="AL333" i="1"/>
  <c r="AK333" i="1"/>
  <c r="AJ333" i="1"/>
  <c r="AI333" i="1"/>
  <c r="AE333" i="1"/>
  <c r="AA333" i="1"/>
  <c r="Z333" i="1"/>
  <c r="U333" i="1"/>
  <c r="T333" i="1" s="1"/>
  <c r="AQ332" i="1"/>
  <c r="AP332" i="1"/>
  <c r="AO332" i="1"/>
  <c r="AN332" i="1"/>
  <c r="AL332" i="1"/>
  <c r="AK332" i="1"/>
  <c r="AJ332" i="1"/>
  <c r="AI332" i="1"/>
  <c r="AA332" i="1"/>
  <c r="Z332" i="1"/>
  <c r="U332" i="1"/>
  <c r="T332" i="1" s="1"/>
  <c r="AE332" i="1"/>
  <c r="AQ331" i="1"/>
  <c r="AP331" i="1"/>
  <c r="AO331" i="1"/>
  <c r="AN331" i="1"/>
  <c r="AL331" i="1"/>
  <c r="AK331" i="1"/>
  <c r="AJ331" i="1"/>
  <c r="AI331" i="1"/>
  <c r="AA331" i="1"/>
  <c r="Z331" i="1"/>
  <c r="U331" i="1"/>
  <c r="T331" i="1" s="1"/>
  <c r="AE331" i="1"/>
  <c r="AQ327" i="1"/>
  <c r="AP327" i="1"/>
  <c r="AO327" i="1"/>
  <c r="AN327" i="1"/>
  <c r="AL327" i="1"/>
  <c r="AK327" i="1"/>
  <c r="AJ327" i="1"/>
  <c r="AI327" i="1"/>
  <c r="AA327" i="1"/>
  <c r="U327" i="1"/>
  <c r="T327" i="1" s="1"/>
  <c r="Q327" i="1" s="1"/>
  <c r="Z327" i="1" s="1"/>
  <c r="AE327" i="1"/>
  <c r="AQ325" i="1"/>
  <c r="AP325" i="1"/>
  <c r="AO325" i="1"/>
  <c r="AN325" i="1"/>
  <c r="AL325" i="1"/>
  <c r="AK325" i="1"/>
  <c r="AJ325" i="1"/>
  <c r="AI325" i="1"/>
  <c r="AA325" i="1"/>
  <c r="Z325" i="1"/>
  <c r="U325" i="1"/>
  <c r="T325" i="1" s="1"/>
  <c r="AE325" i="1"/>
  <c r="AQ324" i="1"/>
  <c r="AP324" i="1"/>
  <c r="AO324" i="1"/>
  <c r="AN324" i="1"/>
  <c r="AL324" i="1"/>
  <c r="AK324" i="1"/>
  <c r="AJ324" i="1"/>
  <c r="AI324" i="1"/>
  <c r="AE324" i="1"/>
  <c r="AA324" i="1"/>
  <c r="Z324" i="1"/>
  <c r="U324" i="1"/>
  <c r="T324" i="1" s="1"/>
  <c r="AQ323" i="1"/>
  <c r="AP323" i="1"/>
  <c r="AO323" i="1"/>
  <c r="AN323" i="1"/>
  <c r="AL323" i="1"/>
  <c r="AK323" i="1"/>
  <c r="AJ323" i="1"/>
  <c r="AI323" i="1"/>
  <c r="AA323" i="1"/>
  <c r="Z323" i="1"/>
  <c r="U323" i="1"/>
  <c r="T323" i="1"/>
  <c r="AE323" i="1"/>
  <c r="AQ322" i="1"/>
  <c r="AP322" i="1"/>
  <c r="AO322" i="1"/>
  <c r="AN322" i="1"/>
  <c r="AL322" i="1"/>
  <c r="AK322" i="1"/>
  <c r="AJ322" i="1"/>
  <c r="AI322" i="1"/>
  <c r="AA322" i="1"/>
  <c r="Z322" i="1"/>
  <c r="U322" i="1"/>
  <c r="T322" i="1"/>
  <c r="AE322" i="1"/>
  <c r="AQ321" i="1"/>
  <c r="AP321" i="1"/>
  <c r="AO321" i="1"/>
  <c r="AN321" i="1"/>
  <c r="AL321" i="1"/>
  <c r="AK321" i="1"/>
  <c r="AJ321" i="1"/>
  <c r="AI321" i="1"/>
  <c r="AE321" i="1"/>
  <c r="AA321" i="1"/>
  <c r="Z321" i="1"/>
  <c r="U321" i="1"/>
  <c r="T321" i="1" s="1"/>
  <c r="AQ320" i="1"/>
  <c r="AP320" i="1"/>
  <c r="AO320" i="1"/>
  <c r="AL320" i="1"/>
  <c r="AK320" i="1"/>
  <c r="AJ320" i="1"/>
  <c r="AA320" i="1"/>
  <c r="Z320" i="1"/>
  <c r="U320" i="1"/>
  <c r="T320" i="1" s="1"/>
  <c r="AE320" i="1"/>
  <c r="AQ319" i="1"/>
  <c r="AP319" i="1"/>
  <c r="AO319" i="1"/>
  <c r="AN319" i="1"/>
  <c r="AL319" i="1"/>
  <c r="AK319" i="1"/>
  <c r="AJ319" i="1"/>
  <c r="AI319" i="1"/>
  <c r="AA319" i="1"/>
  <c r="Z319" i="1"/>
  <c r="U319" i="1"/>
  <c r="T319" i="1" s="1"/>
  <c r="Q319" i="1" s="1"/>
  <c r="X319" i="1" s="1"/>
  <c r="F319" i="1"/>
  <c r="AE319" i="1" s="1"/>
  <c r="AC350" i="1" l="1"/>
  <c r="AG350" i="1" s="1"/>
  <c r="AF350" i="1" s="1"/>
  <c r="Q358" i="1"/>
  <c r="X358" i="1" s="1"/>
  <c r="AC343" i="1"/>
  <c r="AC325" i="1"/>
  <c r="AG325" i="1" s="1"/>
  <c r="AF325" i="1" s="1"/>
  <c r="X349" i="1"/>
  <c r="AC331" i="1"/>
  <c r="AG331" i="1" s="1"/>
  <c r="AF331" i="1" s="1"/>
  <c r="AG343" i="1"/>
  <c r="AF343" i="1" s="1"/>
  <c r="AG293" i="1"/>
  <c r="AF293" i="1" s="1"/>
  <c r="X332" i="1"/>
  <c r="X342" i="1"/>
  <c r="X350" i="1"/>
  <c r="X335" i="1"/>
  <c r="X345" i="1"/>
  <c r="X353" i="1"/>
  <c r="X361" i="1"/>
  <c r="AG294" i="1"/>
  <c r="AF294" i="1" s="1"/>
  <c r="Q294" i="1"/>
  <c r="AC359" i="1"/>
  <c r="AG359" i="1" s="1"/>
  <c r="AF359" i="1" s="1"/>
  <c r="AC361" i="1"/>
  <c r="AG361" i="1" s="1"/>
  <c r="AF361" i="1" s="1"/>
  <c r="X327" i="1"/>
  <c r="X348" i="1"/>
  <c r="X356" i="1"/>
  <c r="AC324" i="1"/>
  <c r="AG324" i="1" s="1"/>
  <c r="AF324" i="1" s="1"/>
  <c r="X323" i="1"/>
  <c r="X357" i="1"/>
  <c r="AC336" i="1"/>
  <c r="AC295" i="1"/>
  <c r="AG295" i="1" s="1"/>
  <c r="AF295" i="1" s="1"/>
  <c r="X295" i="1"/>
  <c r="AC335" i="1"/>
  <c r="AG335" i="1" s="1"/>
  <c r="AF335" i="1" s="1"/>
  <c r="X321" i="1"/>
  <c r="X325" i="1"/>
  <c r="X337" i="1"/>
  <c r="X347" i="1"/>
  <c r="X355" i="1"/>
  <c r="AC337" i="1"/>
  <c r="AG337" i="1" s="1"/>
  <c r="AF337" i="1" s="1"/>
  <c r="AC348" i="1"/>
  <c r="AG348" i="1" s="1"/>
  <c r="AF348" i="1" s="1"/>
  <c r="AC353" i="1"/>
  <c r="AG353" i="1" s="1"/>
  <c r="AF353" i="1" s="1"/>
  <c r="AC355" i="1"/>
  <c r="AG355" i="1" s="1"/>
  <c r="AF355" i="1" s="1"/>
  <c r="X320" i="1"/>
  <c r="X333" i="1"/>
  <c r="X343" i="1"/>
  <c r="X351" i="1"/>
  <c r="X359" i="1"/>
  <c r="X336" i="1"/>
  <c r="X346" i="1"/>
  <c r="X354" i="1"/>
  <c r="AC349" i="1"/>
  <c r="AG349" i="1" s="1"/>
  <c r="AF349" i="1" s="1"/>
  <c r="AC354" i="1"/>
  <c r="AG354" i="1" s="1"/>
  <c r="AF354" i="1" s="1"/>
  <c r="AC319" i="1"/>
  <c r="AG319" i="1" s="1"/>
  <c r="AF319" i="1" s="1"/>
  <c r="AC320" i="1"/>
  <c r="AG320" i="1" s="1"/>
  <c r="AF320" i="1" s="1"/>
  <c r="AC347" i="1"/>
  <c r="AG347" i="1" s="1"/>
  <c r="AF347" i="1" s="1"/>
  <c r="AG360" i="1"/>
  <c r="AF360" i="1" s="1"/>
  <c r="X344" i="1"/>
  <c r="X352" i="1"/>
  <c r="X360" i="1"/>
  <c r="AQ362" i="1"/>
  <c r="AQ363" i="1" s="1"/>
  <c r="AO362" i="1"/>
  <c r="AO363" i="1" s="1"/>
  <c r="AP362" i="1"/>
  <c r="AP363" i="1" s="1"/>
  <c r="AK362" i="1"/>
  <c r="AK363" i="1" s="1"/>
  <c r="AC345" i="1"/>
  <c r="AG345" i="1" s="1"/>
  <c r="AF345" i="1" s="1"/>
  <c r="AJ362" i="1"/>
  <c r="AJ363" i="1" s="1"/>
  <c r="AL362" i="1"/>
  <c r="AL363" i="1" s="1"/>
  <c r="AC332" i="1"/>
  <c r="AG332" i="1" s="1"/>
  <c r="AF332" i="1" s="1"/>
  <c r="AI362" i="1"/>
  <c r="AI363" i="1" s="1"/>
  <c r="AN362" i="1"/>
  <c r="AN363" i="1" s="1"/>
  <c r="AE362" i="1"/>
  <c r="AC333" i="1"/>
  <c r="AG333" i="1" s="1"/>
  <c r="AF333" i="1" s="1"/>
  <c r="AC334" i="1"/>
  <c r="AG334" i="1" s="1"/>
  <c r="AF334" i="1" s="1"/>
  <c r="AC321" i="1"/>
  <c r="AG321" i="1" s="1"/>
  <c r="AF321" i="1" s="1"/>
  <c r="AC322" i="1"/>
  <c r="AG322" i="1" s="1"/>
  <c r="AF322" i="1" s="1"/>
  <c r="AC357" i="1"/>
  <c r="AG357" i="1" s="1"/>
  <c r="AF357" i="1" s="1"/>
  <c r="AC339" i="1"/>
  <c r="AG339" i="1" s="1"/>
  <c r="AF339" i="1" s="1"/>
  <c r="AC351" i="1"/>
  <c r="AG351" i="1" s="1"/>
  <c r="AF351" i="1" s="1"/>
  <c r="AC356" i="1"/>
  <c r="AG356" i="1" s="1"/>
  <c r="AF356" i="1" s="1"/>
  <c r="AC342" i="1"/>
  <c r="AG342" i="1" s="1"/>
  <c r="AF342" i="1" s="1"/>
  <c r="AA362" i="1"/>
  <c r="AB362" i="1" s="1"/>
  <c r="AG358" i="1"/>
  <c r="AF358" i="1" s="1"/>
  <c r="AG336" i="1"/>
  <c r="AF336" i="1" s="1"/>
  <c r="Z335" i="1"/>
  <c r="Z341" i="1"/>
  <c r="AC346" i="1"/>
  <c r="AG346" i="1" s="1"/>
  <c r="AF346" i="1" s="1"/>
  <c r="AC341" i="1"/>
  <c r="AG341" i="1" s="1"/>
  <c r="AF341" i="1" s="1"/>
  <c r="AC352" i="1"/>
  <c r="AG352" i="1" s="1"/>
  <c r="AF352" i="1" s="1"/>
  <c r="H362" i="1"/>
  <c r="J362" i="1" s="1"/>
  <c r="AC323" i="1"/>
  <c r="AG323" i="1" s="1"/>
  <c r="AF323" i="1" s="1"/>
  <c r="AC327" i="1"/>
  <c r="AG327" i="1" s="1"/>
  <c r="AF327" i="1" s="1"/>
  <c r="O362" i="1"/>
  <c r="X282" i="1"/>
  <c r="AR363" i="1" l="1"/>
  <c r="AM363" i="1"/>
  <c r="AR362" i="1"/>
  <c r="Z294" i="1"/>
  <c r="X294" i="1"/>
  <c r="AM362" i="1"/>
  <c r="Z362" i="1"/>
  <c r="Q362" i="1" s="1"/>
  <c r="AF362" i="1"/>
  <c r="M362" i="1" s="1"/>
  <c r="AG362" i="1"/>
  <c r="AH362" i="1" s="1"/>
  <c r="M9" i="1"/>
  <c r="M13" i="1" s="1"/>
  <c r="Y362" i="1" l="1"/>
  <c r="P289" i="1"/>
  <c r="AQ289" i="1"/>
  <c r="AP289" i="1"/>
  <c r="AO289" i="1"/>
  <c r="AN289" i="1"/>
  <c r="AL289" i="1"/>
  <c r="AK289" i="1"/>
  <c r="AJ289" i="1"/>
  <c r="AI289" i="1"/>
  <c r="AA289" i="1"/>
  <c r="U289" i="1"/>
  <c r="T289" i="1" s="1"/>
  <c r="E289" i="1"/>
  <c r="F289" i="1" s="1"/>
  <c r="AE289" i="1" s="1"/>
  <c r="Q289" i="1" l="1"/>
  <c r="X289" i="1"/>
  <c r="Z289" i="1"/>
  <c r="AC289" i="1"/>
  <c r="AG289" i="1" s="1"/>
  <c r="AF289" i="1" s="1"/>
  <c r="O276" i="1"/>
  <c r="AQ270" i="1" l="1"/>
  <c r="AP270" i="1"/>
  <c r="AO270" i="1"/>
  <c r="AN270" i="1"/>
  <c r="AL270" i="1"/>
  <c r="AK270" i="1"/>
  <c r="AJ270" i="1"/>
  <c r="AI270" i="1"/>
  <c r="AA270" i="1"/>
  <c r="Z270" i="1"/>
  <c r="U270" i="1"/>
  <c r="T270" i="1" s="1"/>
  <c r="E270" i="1"/>
  <c r="F270" i="1" s="1"/>
  <c r="AE270" i="1" s="1"/>
  <c r="AQ269" i="1"/>
  <c r="AP269" i="1"/>
  <c r="AO269" i="1"/>
  <c r="AN269" i="1"/>
  <c r="AL269" i="1"/>
  <c r="AK269" i="1"/>
  <c r="AJ269" i="1"/>
  <c r="AI269" i="1"/>
  <c r="AE269" i="1"/>
  <c r="AA269" i="1"/>
  <c r="U269" i="1"/>
  <c r="T269" i="1" s="1"/>
  <c r="P269" i="1"/>
  <c r="Q270" i="1" l="1"/>
  <c r="X270" i="1" s="1"/>
  <c r="AC270" i="1"/>
  <c r="AG270" i="1" s="1"/>
  <c r="AF270" i="1" s="1"/>
  <c r="AC269" i="1"/>
  <c r="AG269" i="1" s="1"/>
  <c r="AF269" i="1" s="1"/>
  <c r="Q269" i="1"/>
  <c r="Z269" i="1" l="1"/>
  <c r="X269" i="1"/>
  <c r="O282" i="1"/>
  <c r="AQ266" i="1" l="1"/>
  <c r="AP266" i="1"/>
  <c r="AO266" i="1"/>
  <c r="AN266" i="1"/>
  <c r="AL266" i="1"/>
  <c r="AK266" i="1"/>
  <c r="AJ266" i="1"/>
  <c r="AI266" i="1"/>
  <c r="AA266" i="1"/>
  <c r="Z266" i="1"/>
  <c r="U266" i="1"/>
  <c r="T266" i="1" s="1"/>
  <c r="AC266" i="1" s="1"/>
  <c r="P266" i="1"/>
  <c r="E266" i="1"/>
  <c r="F266" i="1" s="1"/>
  <c r="AE266" i="1" s="1"/>
  <c r="Q266" i="1" l="1"/>
  <c r="X266" i="1" s="1"/>
  <c r="AG266" i="1"/>
  <c r="AF266" i="1" s="1"/>
  <c r="E247" i="1"/>
  <c r="F247" i="1" s="1"/>
  <c r="AQ242" i="1" l="1"/>
  <c r="AP242" i="1"/>
  <c r="AO242" i="1"/>
  <c r="AN242" i="1"/>
  <c r="AL242" i="1"/>
  <c r="AK242" i="1"/>
  <c r="AJ242" i="1"/>
  <c r="AI242" i="1"/>
  <c r="AE242" i="1"/>
  <c r="AA242" i="1"/>
  <c r="Z242" i="1"/>
  <c r="U242" i="1"/>
  <c r="T242" i="1" s="1"/>
  <c r="AC242" i="1" s="1"/>
  <c r="AG242" i="1" s="1"/>
  <c r="AF242" i="1" s="1"/>
  <c r="Q242" i="1"/>
  <c r="P242" i="1"/>
  <c r="E242" i="1"/>
  <c r="F242" i="1" s="1"/>
  <c r="X242" i="1" l="1"/>
  <c r="AQ285" i="1"/>
  <c r="AP285" i="1"/>
  <c r="AO285" i="1"/>
  <c r="AN285" i="1"/>
  <c r="AL285" i="1"/>
  <c r="AK285" i="1"/>
  <c r="AJ285" i="1"/>
  <c r="AI285" i="1"/>
  <c r="AA285" i="1"/>
  <c r="Z285" i="1"/>
  <c r="U285" i="1"/>
  <c r="T285" i="1" s="1"/>
  <c r="P285" i="1"/>
  <c r="E285" i="1"/>
  <c r="F285" i="1" s="1"/>
  <c r="AE285" i="1" s="1"/>
  <c r="Q285" i="1" l="1"/>
  <c r="X285" i="1" s="1"/>
  <c r="AC285" i="1"/>
  <c r="AG285" i="1" s="1"/>
  <c r="AF285" i="1" s="1"/>
  <c r="P244" i="1"/>
  <c r="AQ247" i="1" l="1"/>
  <c r="AP247" i="1"/>
  <c r="AO247" i="1"/>
  <c r="AN247" i="1"/>
  <c r="AL247" i="1"/>
  <c r="AK247" i="1"/>
  <c r="AJ247" i="1"/>
  <c r="AI247" i="1"/>
  <c r="AA247" i="1"/>
  <c r="Z247" i="1"/>
  <c r="U247" i="1"/>
  <c r="T247" i="1" s="1"/>
  <c r="P247" i="1"/>
  <c r="AE247" i="1"/>
  <c r="AQ246" i="1"/>
  <c r="AP246" i="1"/>
  <c r="AO246" i="1"/>
  <c r="AN246" i="1"/>
  <c r="AL246" i="1"/>
  <c r="AK246" i="1"/>
  <c r="AJ246" i="1"/>
  <c r="AI246" i="1"/>
  <c r="AA246" i="1"/>
  <c r="U246" i="1"/>
  <c r="T246" i="1" s="1"/>
  <c r="F246" i="1"/>
  <c r="AE246" i="1" s="1"/>
  <c r="E246" i="1"/>
  <c r="AQ265" i="1"/>
  <c r="AP265" i="1"/>
  <c r="AO265" i="1"/>
  <c r="AN265" i="1"/>
  <c r="AL265" i="1"/>
  <c r="AK265" i="1"/>
  <c r="AJ265" i="1"/>
  <c r="AI265" i="1"/>
  <c r="AA265" i="1"/>
  <c r="Z265" i="1"/>
  <c r="U265" i="1"/>
  <c r="T265" i="1" s="1"/>
  <c r="P265" i="1"/>
  <c r="E265" i="1"/>
  <c r="F265" i="1" s="1"/>
  <c r="AE265" i="1" s="1"/>
  <c r="Q247" i="1" l="1"/>
  <c r="X247" i="1" s="1"/>
  <c r="AC247" i="1"/>
  <c r="AG247" i="1" s="1"/>
  <c r="AF247" i="1" s="1"/>
  <c r="AC246" i="1"/>
  <c r="AG246" i="1" s="1"/>
  <c r="AF246" i="1" s="1"/>
  <c r="Q246" i="1"/>
  <c r="Q265" i="1"/>
  <c r="X265" i="1" s="1"/>
  <c r="AC265" i="1"/>
  <c r="AG265" i="1" s="1"/>
  <c r="AF265" i="1" s="1"/>
  <c r="O279" i="1"/>
  <c r="X246" i="1" l="1"/>
  <c r="Z246" i="1"/>
  <c r="AQ264" i="1"/>
  <c r="AP264" i="1"/>
  <c r="AO264" i="1"/>
  <c r="AN264" i="1"/>
  <c r="AL264" i="1"/>
  <c r="AK264" i="1"/>
  <c r="AJ264" i="1"/>
  <c r="AI264" i="1"/>
  <c r="AA264" i="1"/>
  <c r="U264" i="1"/>
  <c r="T264" i="1" s="1"/>
  <c r="AC264" i="1" s="1"/>
  <c r="P264" i="1"/>
  <c r="E264" i="1"/>
  <c r="F264" i="1" s="1"/>
  <c r="AE264" i="1" s="1"/>
  <c r="AG264" i="1" l="1"/>
  <c r="AF264" i="1" s="1"/>
  <c r="Q264" i="1"/>
  <c r="AQ237" i="1"/>
  <c r="AP237" i="1"/>
  <c r="AO237" i="1"/>
  <c r="AN237" i="1"/>
  <c r="AL237" i="1"/>
  <c r="AK237" i="1"/>
  <c r="AJ237" i="1"/>
  <c r="AI237" i="1"/>
  <c r="AA237" i="1"/>
  <c r="Z237" i="1"/>
  <c r="U237" i="1"/>
  <c r="T237" i="1" s="1"/>
  <c r="E237" i="1"/>
  <c r="F237" i="1" s="1"/>
  <c r="AE237" i="1" s="1"/>
  <c r="AQ249" i="1"/>
  <c r="AP249" i="1"/>
  <c r="AO249" i="1"/>
  <c r="AN249" i="1"/>
  <c r="AL249" i="1"/>
  <c r="AK249" i="1"/>
  <c r="AJ249" i="1"/>
  <c r="AI249" i="1"/>
  <c r="AE249" i="1"/>
  <c r="AA249" i="1"/>
  <c r="Z249" i="1"/>
  <c r="U249" i="1"/>
  <c r="T249" i="1" s="1"/>
  <c r="Q249" i="1"/>
  <c r="P249" i="1"/>
  <c r="E249" i="1"/>
  <c r="F249" i="1" s="1"/>
  <c r="E253" i="1"/>
  <c r="Z252" i="1"/>
  <c r="Q237" i="1" l="1"/>
  <c r="X237" i="1" s="1"/>
  <c r="AC237" i="1"/>
  <c r="AG237" i="1" s="1"/>
  <c r="AF237" i="1" s="1"/>
  <c r="AC249" i="1"/>
  <c r="AG249" i="1" s="1"/>
  <c r="AF249" i="1" s="1"/>
  <c r="X249" i="1"/>
  <c r="X264" i="1"/>
  <c r="Z264" i="1"/>
  <c r="AP216" i="1"/>
  <c r="AO216" i="1"/>
  <c r="AN216" i="1"/>
  <c r="AK216" i="1"/>
  <c r="AJ216" i="1"/>
  <c r="AI216" i="1"/>
  <c r="AA216" i="1"/>
  <c r="Z216" i="1"/>
  <c r="U216" i="1"/>
  <c r="T216" i="1" s="1"/>
  <c r="E216" i="1"/>
  <c r="F216" i="1" s="1"/>
  <c r="AE216" i="1" s="1"/>
  <c r="Q216" i="1" l="1"/>
  <c r="X216" i="1" s="1"/>
  <c r="AQ216" i="1"/>
  <c r="AC216" i="1"/>
  <c r="AG216" i="1" s="1"/>
  <c r="AF216" i="1" s="1"/>
  <c r="AL216" i="1"/>
  <c r="E227" i="1"/>
  <c r="F227" i="1" s="1"/>
  <c r="AE227" i="1" s="1"/>
  <c r="AQ227" i="1"/>
  <c r="AP227" i="1"/>
  <c r="AO227" i="1"/>
  <c r="AN227" i="1"/>
  <c r="AL227" i="1"/>
  <c r="AK227" i="1"/>
  <c r="AJ227" i="1"/>
  <c r="AI227" i="1"/>
  <c r="AA227" i="1"/>
  <c r="Z227" i="1"/>
  <c r="U227" i="1"/>
  <c r="T227" i="1" s="1"/>
  <c r="Q227" i="1"/>
  <c r="P227" i="1"/>
  <c r="E226" i="1"/>
  <c r="P226" i="1"/>
  <c r="U226" i="1"/>
  <c r="T226" i="1" s="1"/>
  <c r="AA226" i="1"/>
  <c r="AI226" i="1"/>
  <c r="AJ226" i="1"/>
  <c r="AK226" i="1"/>
  <c r="AL226" i="1"/>
  <c r="AN226" i="1"/>
  <c r="AO226" i="1"/>
  <c r="AP226" i="1"/>
  <c r="AQ226" i="1"/>
  <c r="F226" i="1" l="1"/>
  <c r="AE226" i="1" s="1"/>
  <c r="AC226" i="1"/>
  <c r="AC227" i="1"/>
  <c r="AG227" i="1" s="1"/>
  <c r="AF227" i="1" s="1"/>
  <c r="Q226" i="1"/>
  <c r="X227" i="1"/>
  <c r="P298" i="1"/>
  <c r="AG226" i="1" l="1"/>
  <c r="AF226" i="1" s="1"/>
  <c r="X226" i="1"/>
  <c r="Z226" i="1"/>
  <c r="AQ228" i="1"/>
  <c r="AP228" i="1"/>
  <c r="AO228" i="1"/>
  <c r="AN228" i="1"/>
  <c r="AL228" i="1"/>
  <c r="AK228" i="1"/>
  <c r="AJ228" i="1"/>
  <c r="AI228" i="1"/>
  <c r="AA228" i="1"/>
  <c r="Z228" i="1"/>
  <c r="U228" i="1"/>
  <c r="T228" i="1" s="1"/>
  <c r="Q228" i="1" s="1"/>
  <c r="X228" i="1" s="1"/>
  <c r="E228" i="1"/>
  <c r="F228" i="1" l="1"/>
  <c r="AE228" i="1" s="1"/>
  <c r="AC228" i="1"/>
  <c r="AQ245" i="1"/>
  <c r="AP245" i="1"/>
  <c r="AO245" i="1"/>
  <c r="AN245" i="1"/>
  <c r="AL245" i="1"/>
  <c r="AK245" i="1"/>
  <c r="AJ245" i="1"/>
  <c r="AI245" i="1"/>
  <c r="AA245" i="1"/>
  <c r="Z245" i="1"/>
  <c r="U245" i="1"/>
  <c r="T245" i="1" s="1"/>
  <c r="P245" i="1"/>
  <c r="E245" i="1"/>
  <c r="F245" i="1" s="1"/>
  <c r="AE245" i="1" s="1"/>
  <c r="AQ214" i="1"/>
  <c r="AP214" i="1"/>
  <c r="AO214" i="1"/>
  <c r="AN214" i="1"/>
  <c r="AL214" i="1"/>
  <c r="AK214" i="1"/>
  <c r="AJ214" i="1"/>
  <c r="AI214" i="1"/>
  <c r="AA214" i="1"/>
  <c r="Z214" i="1"/>
  <c r="U214" i="1"/>
  <c r="T214" i="1" s="1"/>
  <c r="Q214" i="1" s="1"/>
  <c r="X214" i="1" s="1"/>
  <c r="E214" i="1"/>
  <c r="F214" i="1" s="1"/>
  <c r="AE214" i="1" s="1"/>
  <c r="Q245" i="1" l="1"/>
  <c r="AC245" i="1"/>
  <c r="AG228" i="1"/>
  <c r="AF228" i="1" s="1"/>
  <c r="AG245" i="1"/>
  <c r="AF245" i="1" s="1"/>
  <c r="X245" i="1"/>
  <c r="AC214" i="1"/>
  <c r="AG214" i="1" s="1"/>
  <c r="AF214" i="1" s="1"/>
  <c r="Q209" i="1"/>
  <c r="P208" i="1"/>
  <c r="AQ220" i="1" l="1"/>
  <c r="AP220" i="1"/>
  <c r="AO220" i="1"/>
  <c r="AN220" i="1"/>
  <c r="AL220" i="1"/>
  <c r="AK220" i="1"/>
  <c r="AJ220" i="1"/>
  <c r="AI220" i="1"/>
  <c r="AA220" i="1"/>
  <c r="Z220" i="1"/>
  <c r="U220" i="1"/>
  <c r="T220" i="1" s="1"/>
  <c r="P220" i="1"/>
  <c r="E220" i="1"/>
  <c r="F220" i="1" s="1"/>
  <c r="AE220" i="1" s="1"/>
  <c r="Q220" i="1" l="1"/>
  <c r="X220" i="1" s="1"/>
  <c r="AC220" i="1"/>
  <c r="AG220" i="1" s="1"/>
  <c r="AF220" i="1" s="1"/>
  <c r="AQ282" i="1"/>
  <c r="AP282" i="1"/>
  <c r="AO282" i="1"/>
  <c r="AN282" i="1"/>
  <c r="AL282" i="1"/>
  <c r="AK282" i="1"/>
  <c r="AJ282" i="1"/>
  <c r="AI282" i="1"/>
  <c r="AA282" i="1"/>
  <c r="Z282" i="1"/>
  <c r="U282" i="1"/>
  <c r="T282" i="1" s="1"/>
  <c r="E282" i="1"/>
  <c r="F282" i="1" s="1"/>
  <c r="AE282" i="1" s="1"/>
  <c r="AC282" i="1" l="1"/>
  <c r="AG282" i="1" s="1"/>
  <c r="AF282" i="1" s="1"/>
  <c r="AQ238" i="1"/>
  <c r="AP238" i="1"/>
  <c r="AO238" i="1"/>
  <c r="AN238" i="1"/>
  <c r="AL238" i="1"/>
  <c r="AK238" i="1"/>
  <c r="AJ238" i="1"/>
  <c r="AI238" i="1"/>
  <c r="AA238" i="1"/>
  <c r="Z238" i="1"/>
  <c r="U238" i="1"/>
  <c r="T238" i="1" s="1"/>
  <c r="P238" i="1"/>
  <c r="E238" i="1"/>
  <c r="F238" i="1" s="1"/>
  <c r="AE238" i="1" s="1"/>
  <c r="AQ209" i="1"/>
  <c r="AP209" i="1"/>
  <c r="AO209" i="1"/>
  <c r="AN209" i="1"/>
  <c r="AL209" i="1"/>
  <c r="AK209" i="1"/>
  <c r="AJ209" i="1"/>
  <c r="AI209" i="1"/>
  <c r="AA209" i="1"/>
  <c r="U209" i="1"/>
  <c r="E209" i="1"/>
  <c r="F209" i="1" s="1"/>
  <c r="AE209" i="1" s="1"/>
  <c r="P240" i="1"/>
  <c r="AC238" i="1" l="1"/>
  <c r="AG238" i="1" s="1"/>
  <c r="AF238" i="1" s="1"/>
  <c r="Q238" i="1"/>
  <c r="X238" i="1" s="1"/>
  <c r="AC209" i="1"/>
  <c r="AG209" i="1" s="1"/>
  <c r="AF209" i="1" s="1"/>
  <c r="AQ206" i="1"/>
  <c r="AP206" i="1"/>
  <c r="AO206" i="1"/>
  <c r="AN206" i="1"/>
  <c r="AL206" i="1"/>
  <c r="AK206" i="1"/>
  <c r="AJ206" i="1"/>
  <c r="AI206" i="1"/>
  <c r="AA206" i="1"/>
  <c r="Z206" i="1"/>
  <c r="U206" i="1"/>
  <c r="T206" i="1" s="1"/>
  <c r="Q206" i="1" s="1"/>
  <c r="X206" i="1" s="1"/>
  <c r="E206" i="1"/>
  <c r="F206" i="1" s="1"/>
  <c r="AE206" i="1" s="1"/>
  <c r="AQ230" i="1"/>
  <c r="AP230" i="1"/>
  <c r="AO230" i="1"/>
  <c r="AN230" i="1"/>
  <c r="AL230" i="1"/>
  <c r="AK230" i="1"/>
  <c r="AJ230" i="1"/>
  <c r="AI230" i="1"/>
  <c r="AA230" i="1"/>
  <c r="Z230" i="1"/>
  <c r="U230" i="1"/>
  <c r="T230" i="1" s="1"/>
  <c r="P230" i="1"/>
  <c r="E230" i="1"/>
  <c r="F230" i="1" s="1"/>
  <c r="AE230" i="1" s="1"/>
  <c r="B273" i="1"/>
  <c r="AQ271" i="1"/>
  <c r="AP271" i="1"/>
  <c r="AO271" i="1"/>
  <c r="AN271" i="1"/>
  <c r="AL271" i="1"/>
  <c r="AK271" i="1"/>
  <c r="AJ271" i="1"/>
  <c r="AI271" i="1"/>
  <c r="AA271" i="1"/>
  <c r="Z271" i="1"/>
  <c r="U271" i="1"/>
  <c r="T271" i="1" s="1"/>
  <c r="Q271" i="1"/>
  <c r="P271" i="1"/>
  <c r="E271" i="1"/>
  <c r="F271" i="1" s="1"/>
  <c r="AE271" i="1" s="1"/>
  <c r="AQ268" i="1"/>
  <c r="AP268" i="1"/>
  <c r="AO268" i="1"/>
  <c r="AN268" i="1"/>
  <c r="AL268" i="1"/>
  <c r="AK268" i="1"/>
  <c r="AJ268" i="1"/>
  <c r="AI268" i="1"/>
  <c r="AA268" i="1"/>
  <c r="Z268" i="1"/>
  <c r="U268" i="1"/>
  <c r="T268" i="1" s="1"/>
  <c r="Q268" i="1"/>
  <c r="P268" i="1"/>
  <c r="E268" i="1"/>
  <c r="F268" i="1" s="1"/>
  <c r="AE268" i="1" s="1"/>
  <c r="AQ267" i="1"/>
  <c r="AP267" i="1"/>
  <c r="AO267" i="1"/>
  <c r="AN267" i="1"/>
  <c r="AL267" i="1"/>
  <c r="AK267" i="1"/>
  <c r="AJ267" i="1"/>
  <c r="AI267" i="1"/>
  <c r="AA267" i="1"/>
  <c r="Z267" i="1"/>
  <c r="U267" i="1"/>
  <c r="T267" i="1" s="1"/>
  <c r="P267" i="1"/>
  <c r="Q267" i="1" s="1"/>
  <c r="E267" i="1"/>
  <c r="F267" i="1" s="1"/>
  <c r="AE267" i="1" s="1"/>
  <c r="AQ263" i="1"/>
  <c r="AP263" i="1"/>
  <c r="AO263" i="1"/>
  <c r="AN263" i="1"/>
  <c r="AL263" i="1"/>
  <c r="AK263" i="1"/>
  <c r="AJ263" i="1"/>
  <c r="AI263" i="1"/>
  <c r="AA263" i="1"/>
  <c r="U263" i="1"/>
  <c r="T263" i="1" s="1"/>
  <c r="P263" i="1"/>
  <c r="E263" i="1"/>
  <c r="F263" i="1" s="1"/>
  <c r="AE263" i="1" s="1"/>
  <c r="AQ262" i="1"/>
  <c r="AP262" i="1"/>
  <c r="AO262" i="1"/>
  <c r="AN262" i="1"/>
  <c r="AL262" i="1"/>
  <c r="AK262" i="1"/>
  <c r="AJ262" i="1"/>
  <c r="AI262" i="1"/>
  <c r="AA262" i="1"/>
  <c r="Z262" i="1"/>
  <c r="U262" i="1"/>
  <c r="T262" i="1" s="1"/>
  <c r="Q262" i="1"/>
  <c r="P262" i="1"/>
  <c r="E262" i="1"/>
  <c r="F262" i="1" s="1"/>
  <c r="AE262" i="1" s="1"/>
  <c r="AQ261" i="1"/>
  <c r="AP261" i="1"/>
  <c r="AO261" i="1"/>
  <c r="AN261" i="1"/>
  <c r="AL261" i="1"/>
  <c r="AK261" i="1"/>
  <c r="AJ261" i="1"/>
  <c r="AI261" i="1"/>
  <c r="AE261" i="1"/>
  <c r="AA261" i="1"/>
  <c r="Z261" i="1"/>
  <c r="U261" i="1"/>
  <c r="T261" i="1" s="1"/>
  <c r="Q261" i="1"/>
  <c r="P261" i="1"/>
  <c r="E261" i="1"/>
  <c r="F261" i="1" s="1"/>
  <c r="AQ260" i="1"/>
  <c r="AP260" i="1"/>
  <c r="AO260" i="1"/>
  <c r="AN260" i="1"/>
  <c r="AL260" i="1"/>
  <c r="AK260" i="1"/>
  <c r="AJ260" i="1"/>
  <c r="AI260" i="1"/>
  <c r="AE260" i="1"/>
  <c r="AA260" i="1"/>
  <c r="Z260" i="1"/>
  <c r="U260" i="1"/>
  <c r="T260" i="1" s="1"/>
  <c r="Q260" i="1"/>
  <c r="P260" i="1"/>
  <c r="E260" i="1"/>
  <c r="F260" i="1" s="1"/>
  <c r="AQ259" i="1"/>
  <c r="AP259" i="1"/>
  <c r="AO259" i="1"/>
  <c r="AN259" i="1"/>
  <c r="AL259" i="1"/>
  <c r="AK259" i="1"/>
  <c r="AJ259" i="1"/>
  <c r="AI259" i="1"/>
  <c r="AA259" i="1"/>
  <c r="U259" i="1"/>
  <c r="T259" i="1" s="1"/>
  <c r="P259" i="1"/>
  <c r="E259" i="1"/>
  <c r="F259" i="1" s="1"/>
  <c r="AE259" i="1" s="1"/>
  <c r="AQ258" i="1"/>
  <c r="AP258" i="1"/>
  <c r="AO258" i="1"/>
  <c r="AN258" i="1"/>
  <c r="AL258" i="1"/>
  <c r="AK258" i="1"/>
  <c r="AJ258" i="1"/>
  <c r="AI258" i="1"/>
  <c r="AE258" i="1"/>
  <c r="AA258" i="1"/>
  <c r="Z258" i="1"/>
  <c r="U258" i="1"/>
  <c r="T258" i="1" s="1"/>
  <c r="Q258" i="1"/>
  <c r="P258" i="1"/>
  <c r="E258" i="1"/>
  <c r="F258" i="1" s="1"/>
  <c r="AQ257" i="1"/>
  <c r="AP257" i="1"/>
  <c r="AO257" i="1"/>
  <c r="AN257" i="1"/>
  <c r="AL257" i="1"/>
  <c r="AK257" i="1"/>
  <c r="AJ257" i="1"/>
  <c r="AI257" i="1"/>
  <c r="AA257" i="1"/>
  <c r="Z257" i="1"/>
  <c r="U257" i="1"/>
  <c r="T257" i="1" s="1"/>
  <c r="Q257" i="1"/>
  <c r="P257" i="1"/>
  <c r="E257" i="1"/>
  <c r="F257" i="1" s="1"/>
  <c r="AE257" i="1" s="1"/>
  <c r="AQ256" i="1"/>
  <c r="AP256" i="1"/>
  <c r="AO256" i="1"/>
  <c r="AN256" i="1"/>
  <c r="AL256" i="1"/>
  <c r="AK256" i="1"/>
  <c r="AJ256" i="1"/>
  <c r="AI256" i="1"/>
  <c r="AE256" i="1"/>
  <c r="AA256" i="1"/>
  <c r="Z256" i="1"/>
  <c r="U256" i="1"/>
  <c r="T256" i="1" s="1"/>
  <c r="Q256" i="1"/>
  <c r="P256" i="1"/>
  <c r="E256" i="1"/>
  <c r="F256" i="1" s="1"/>
  <c r="AQ255" i="1"/>
  <c r="AP255" i="1"/>
  <c r="AO255" i="1"/>
  <c r="AN255" i="1"/>
  <c r="AL255" i="1"/>
  <c r="AK255" i="1"/>
  <c r="AJ255" i="1"/>
  <c r="AI255" i="1"/>
  <c r="AA255" i="1"/>
  <c r="U255" i="1"/>
  <c r="T255" i="1" s="1"/>
  <c r="P255" i="1"/>
  <c r="E255" i="1"/>
  <c r="F255" i="1" s="1"/>
  <c r="AE255" i="1" s="1"/>
  <c r="AQ254" i="1"/>
  <c r="AP254" i="1"/>
  <c r="AO254" i="1"/>
  <c r="AN254" i="1"/>
  <c r="AL254" i="1"/>
  <c r="AK254" i="1"/>
  <c r="AJ254" i="1"/>
  <c r="AI254" i="1"/>
  <c r="AA254" i="1"/>
  <c r="Z254" i="1"/>
  <c r="U254" i="1"/>
  <c r="T254" i="1" s="1"/>
  <c r="P254" i="1"/>
  <c r="E254" i="1"/>
  <c r="F254" i="1" s="1"/>
  <c r="AE254" i="1" s="1"/>
  <c r="AQ253" i="1"/>
  <c r="AP253" i="1"/>
  <c r="AO253" i="1"/>
  <c r="AN253" i="1"/>
  <c r="AL253" i="1"/>
  <c r="AK253" i="1"/>
  <c r="AJ253" i="1"/>
  <c r="AI253" i="1"/>
  <c r="AE253" i="1"/>
  <c r="AA253" i="1"/>
  <c r="U253" i="1"/>
  <c r="T253" i="1" s="1"/>
  <c r="P253" i="1"/>
  <c r="F253" i="1"/>
  <c r="AQ252" i="1"/>
  <c r="AP252" i="1"/>
  <c r="AO252" i="1"/>
  <c r="AN252" i="1"/>
  <c r="AL252" i="1"/>
  <c r="AK252" i="1"/>
  <c r="AJ252" i="1"/>
  <c r="AI252" i="1"/>
  <c r="AA252" i="1"/>
  <c r="U252" i="1"/>
  <c r="T252" i="1" s="1"/>
  <c r="Q252" i="1" s="1"/>
  <c r="E252" i="1"/>
  <c r="F252" i="1" s="1"/>
  <c r="AE252" i="1" s="1"/>
  <c r="AQ251" i="1"/>
  <c r="AP251" i="1"/>
  <c r="AO251" i="1"/>
  <c r="AN251" i="1"/>
  <c r="AL251" i="1"/>
  <c r="AK251" i="1"/>
  <c r="AJ251" i="1"/>
  <c r="AI251" i="1"/>
  <c r="AE251" i="1"/>
  <c r="AA251" i="1"/>
  <c r="Z251" i="1"/>
  <c r="U251" i="1"/>
  <c r="T251" i="1" s="1"/>
  <c r="Q251" i="1"/>
  <c r="P251" i="1"/>
  <c r="E251" i="1"/>
  <c r="F251" i="1" s="1"/>
  <c r="AQ250" i="1"/>
  <c r="AP250" i="1"/>
  <c r="AO250" i="1"/>
  <c r="AN250" i="1"/>
  <c r="AL250" i="1"/>
  <c r="AK250" i="1"/>
  <c r="AJ250" i="1"/>
  <c r="AI250" i="1"/>
  <c r="AA250" i="1"/>
  <c r="U250" i="1"/>
  <c r="T250" i="1" s="1"/>
  <c r="E250" i="1"/>
  <c r="F250" i="1" s="1"/>
  <c r="AE250" i="1" s="1"/>
  <c r="AQ248" i="1"/>
  <c r="AP248" i="1"/>
  <c r="AO248" i="1"/>
  <c r="AN248" i="1"/>
  <c r="AL248" i="1"/>
  <c r="AK248" i="1"/>
  <c r="AJ248" i="1"/>
  <c r="AI248" i="1"/>
  <c r="AA248" i="1"/>
  <c r="Z248" i="1"/>
  <c r="U248" i="1"/>
  <c r="T248" i="1" s="1"/>
  <c r="Q248" i="1"/>
  <c r="P248" i="1"/>
  <c r="E248" i="1"/>
  <c r="F248" i="1" s="1"/>
  <c r="AE248" i="1" s="1"/>
  <c r="AQ244" i="1"/>
  <c r="AP244" i="1"/>
  <c r="AO244" i="1"/>
  <c r="AN244" i="1"/>
  <c r="AL244" i="1"/>
  <c r="AK244" i="1"/>
  <c r="AJ244" i="1"/>
  <c r="AI244" i="1"/>
  <c r="AE244" i="1"/>
  <c r="AA244" i="1"/>
  <c r="U244" i="1"/>
  <c r="AQ243" i="1"/>
  <c r="AP243" i="1"/>
  <c r="AO243" i="1"/>
  <c r="AN243" i="1"/>
  <c r="AL243" i="1"/>
  <c r="AK243" i="1"/>
  <c r="AJ243" i="1"/>
  <c r="AI243" i="1"/>
  <c r="AA243" i="1"/>
  <c r="Z243" i="1"/>
  <c r="U243" i="1"/>
  <c r="T243" i="1" s="1"/>
  <c r="Q243" i="1"/>
  <c r="P243" i="1"/>
  <c r="E243" i="1"/>
  <c r="F243" i="1" s="1"/>
  <c r="AE243" i="1" s="1"/>
  <c r="AQ241" i="1"/>
  <c r="AP241" i="1"/>
  <c r="AO241" i="1"/>
  <c r="AN241" i="1"/>
  <c r="AL241" i="1"/>
  <c r="AK241" i="1"/>
  <c r="AJ241" i="1"/>
  <c r="AI241" i="1"/>
  <c r="AA241" i="1"/>
  <c r="Z241" i="1"/>
  <c r="U241" i="1"/>
  <c r="T241" i="1" s="1"/>
  <c r="P241" i="1"/>
  <c r="Q241" i="1" s="1"/>
  <c r="E241" i="1"/>
  <c r="F241" i="1" s="1"/>
  <c r="AE241" i="1" s="1"/>
  <c r="AQ240" i="1"/>
  <c r="AP240" i="1"/>
  <c r="AO240" i="1"/>
  <c r="AN240" i="1"/>
  <c r="AL240" i="1"/>
  <c r="AK240" i="1"/>
  <c r="AJ240" i="1"/>
  <c r="AI240" i="1"/>
  <c r="AA240" i="1"/>
  <c r="Z240" i="1"/>
  <c r="U240" i="1"/>
  <c r="T240" i="1" s="1"/>
  <c r="Q240" i="1" s="1"/>
  <c r="E240" i="1"/>
  <c r="F240" i="1" s="1"/>
  <c r="AE240" i="1" s="1"/>
  <c r="AQ239" i="1"/>
  <c r="AP239" i="1"/>
  <c r="AO239" i="1"/>
  <c r="AN239" i="1"/>
  <c r="AL239" i="1"/>
  <c r="AK239" i="1"/>
  <c r="AJ239" i="1"/>
  <c r="AI239" i="1"/>
  <c r="AA239" i="1"/>
  <c r="AC239" i="1" s="1"/>
  <c r="Z239" i="1"/>
  <c r="U239" i="1"/>
  <c r="Q239" i="1"/>
  <c r="P239" i="1"/>
  <c r="E239" i="1"/>
  <c r="F239" i="1" s="1"/>
  <c r="AE239" i="1" s="1"/>
  <c r="AQ236" i="1"/>
  <c r="AP236" i="1"/>
  <c r="AO236" i="1"/>
  <c r="AN236" i="1"/>
  <c r="AL236" i="1"/>
  <c r="AK236" i="1"/>
  <c r="AJ236" i="1"/>
  <c r="AI236" i="1"/>
  <c r="AA236" i="1"/>
  <c r="U236" i="1"/>
  <c r="T236" i="1" s="1"/>
  <c r="P236" i="1"/>
  <c r="AE236" i="1"/>
  <c r="AQ235" i="1"/>
  <c r="AP235" i="1"/>
  <c r="AO235" i="1"/>
  <c r="AN235" i="1"/>
  <c r="AL235" i="1"/>
  <c r="AK235" i="1"/>
  <c r="AJ235" i="1"/>
  <c r="AI235" i="1"/>
  <c r="AA235" i="1"/>
  <c r="Z235" i="1"/>
  <c r="U235" i="1"/>
  <c r="T235" i="1" s="1"/>
  <c r="Q235" i="1" s="1"/>
  <c r="E235" i="1"/>
  <c r="F235" i="1" s="1"/>
  <c r="AE235" i="1" s="1"/>
  <c r="AQ234" i="1"/>
  <c r="AP234" i="1"/>
  <c r="AO234" i="1"/>
  <c r="AN234" i="1"/>
  <c r="AL234" i="1"/>
  <c r="AK234" i="1"/>
  <c r="AJ234" i="1"/>
  <c r="AI234" i="1"/>
  <c r="AA234" i="1"/>
  <c r="Z234" i="1"/>
  <c r="U234" i="1"/>
  <c r="T234" i="1" s="1"/>
  <c r="Q234" i="1"/>
  <c r="P234" i="1"/>
  <c r="E234" i="1"/>
  <c r="F234" i="1" s="1"/>
  <c r="AE234" i="1" s="1"/>
  <c r="AQ233" i="1"/>
  <c r="AP233" i="1"/>
  <c r="AO233" i="1"/>
  <c r="AN233" i="1"/>
  <c r="AL233" i="1"/>
  <c r="AK233" i="1"/>
  <c r="AJ233" i="1"/>
  <c r="AI233" i="1"/>
  <c r="AA233" i="1"/>
  <c r="Z233" i="1"/>
  <c r="U233" i="1"/>
  <c r="T233" i="1" s="1"/>
  <c r="P233" i="1"/>
  <c r="AQ232" i="1"/>
  <c r="AP232" i="1"/>
  <c r="AO232" i="1"/>
  <c r="AN232" i="1"/>
  <c r="AL232" i="1"/>
  <c r="AK232" i="1"/>
  <c r="AJ232" i="1"/>
  <c r="AI232" i="1"/>
  <c r="AA232" i="1"/>
  <c r="U232" i="1"/>
  <c r="T232" i="1" s="1"/>
  <c r="P232" i="1"/>
  <c r="E232" i="1"/>
  <c r="F232" i="1" s="1"/>
  <c r="AE232" i="1" s="1"/>
  <c r="AQ231" i="1"/>
  <c r="AP231" i="1"/>
  <c r="AO231" i="1"/>
  <c r="AN231" i="1"/>
  <c r="AL231" i="1"/>
  <c r="AK231" i="1"/>
  <c r="AJ231" i="1"/>
  <c r="AI231" i="1"/>
  <c r="AA231" i="1"/>
  <c r="Z231" i="1"/>
  <c r="U231" i="1"/>
  <c r="T231" i="1" s="1"/>
  <c r="Q231" i="1"/>
  <c r="P231" i="1"/>
  <c r="E231" i="1"/>
  <c r="F231" i="1" s="1"/>
  <c r="AE231" i="1" s="1"/>
  <c r="AQ229" i="1"/>
  <c r="AP229" i="1"/>
  <c r="AO229" i="1"/>
  <c r="AN229" i="1"/>
  <c r="AL229" i="1"/>
  <c r="AK229" i="1"/>
  <c r="AJ229" i="1"/>
  <c r="AI229" i="1"/>
  <c r="AA229" i="1"/>
  <c r="Z229" i="1"/>
  <c r="U229" i="1"/>
  <c r="T229" i="1" s="1"/>
  <c r="Q229" i="1"/>
  <c r="P229" i="1"/>
  <c r="E229" i="1"/>
  <c r="Q316" i="1"/>
  <c r="Q315" i="1"/>
  <c r="Q312" i="1"/>
  <c r="Q311" i="1"/>
  <c r="Q310" i="1"/>
  <c r="Q309" i="1"/>
  <c r="Q304" i="1"/>
  <c r="Q303" i="1"/>
  <c r="Q302" i="1"/>
  <c r="P316" i="1"/>
  <c r="P315" i="1"/>
  <c r="P312" i="1"/>
  <c r="P311" i="1"/>
  <c r="P310" i="1"/>
  <c r="P309" i="1"/>
  <c r="P304" i="1"/>
  <c r="P303" i="1"/>
  <c r="P302" i="1"/>
  <c r="P301" i="1"/>
  <c r="P297" i="1"/>
  <c r="P296" i="1"/>
  <c r="P292" i="1"/>
  <c r="Q291" i="1"/>
  <c r="P290" i="1"/>
  <c r="P287" i="1"/>
  <c r="P286" i="1"/>
  <c r="P284" i="1"/>
  <c r="P281" i="1"/>
  <c r="P280" i="1"/>
  <c r="P279" i="1"/>
  <c r="P278" i="1"/>
  <c r="P277" i="1"/>
  <c r="B317" i="1"/>
  <c r="B224" i="1"/>
  <c r="B184" i="1"/>
  <c r="B142" i="1"/>
  <c r="B108" i="1"/>
  <c r="B73" i="1"/>
  <c r="B34" i="1"/>
  <c r="O317" i="1"/>
  <c r="AQ316" i="1"/>
  <c r="AP316" i="1"/>
  <c r="AO316" i="1"/>
  <c r="AN316" i="1"/>
  <c r="AL316" i="1"/>
  <c r="AK316" i="1"/>
  <c r="AJ316" i="1"/>
  <c r="AI316" i="1"/>
  <c r="AE316" i="1"/>
  <c r="AA316" i="1"/>
  <c r="Z316" i="1"/>
  <c r="U316" i="1"/>
  <c r="T316" i="1" s="1"/>
  <c r="AQ315" i="1"/>
  <c r="AP315" i="1"/>
  <c r="AO315" i="1"/>
  <c r="AN315" i="1"/>
  <c r="AL315" i="1"/>
  <c r="AK315" i="1"/>
  <c r="AJ315" i="1"/>
  <c r="AI315" i="1"/>
  <c r="AE315" i="1"/>
  <c r="AA315" i="1"/>
  <c r="Z315" i="1"/>
  <c r="U315" i="1"/>
  <c r="T315" i="1" s="1"/>
  <c r="E315" i="1"/>
  <c r="F315" i="1" s="1"/>
  <c r="AQ314" i="1"/>
  <c r="AP314" i="1"/>
  <c r="AO314" i="1"/>
  <c r="AN314" i="1"/>
  <c r="AL314" i="1"/>
  <c r="AK314" i="1"/>
  <c r="AJ314" i="1"/>
  <c r="AI314" i="1"/>
  <c r="AA314" i="1"/>
  <c r="Z314" i="1"/>
  <c r="U314" i="1"/>
  <c r="T314" i="1" s="1"/>
  <c r="Q314" i="1" s="1"/>
  <c r="E314" i="1"/>
  <c r="F314" i="1" s="1"/>
  <c r="AE314" i="1" s="1"/>
  <c r="AP313" i="1"/>
  <c r="AO313" i="1"/>
  <c r="AN313" i="1"/>
  <c r="AK313" i="1"/>
  <c r="AJ313" i="1"/>
  <c r="AI313" i="1"/>
  <c r="AA313" i="1"/>
  <c r="U313" i="1"/>
  <c r="T313" i="1" s="1"/>
  <c r="AL313" i="1" s="1"/>
  <c r="AE313" i="1"/>
  <c r="AQ312" i="1"/>
  <c r="AP312" i="1"/>
  <c r="AO312" i="1"/>
  <c r="AN312" i="1"/>
  <c r="AL312" i="1"/>
  <c r="AK312" i="1"/>
  <c r="AJ312" i="1"/>
  <c r="AI312" i="1"/>
  <c r="AA312" i="1"/>
  <c r="Z312" i="1"/>
  <c r="U312" i="1"/>
  <c r="T312" i="1" s="1"/>
  <c r="E312" i="1"/>
  <c r="F312" i="1" s="1"/>
  <c r="AE312" i="1" s="1"/>
  <c r="AP311" i="1"/>
  <c r="AO311" i="1"/>
  <c r="AN311" i="1"/>
  <c r="AK311" i="1"/>
  <c r="AJ311" i="1"/>
  <c r="AI311" i="1"/>
  <c r="AA311" i="1"/>
  <c r="U311" i="1"/>
  <c r="T311" i="1" s="1"/>
  <c r="E311" i="1"/>
  <c r="F311" i="1" s="1"/>
  <c r="AE311" i="1" s="1"/>
  <c r="AQ310" i="1"/>
  <c r="AP310" i="1"/>
  <c r="AO310" i="1"/>
  <c r="AN310" i="1"/>
  <c r="AL310" i="1"/>
  <c r="AK310" i="1"/>
  <c r="AJ310" i="1"/>
  <c r="AI310" i="1"/>
  <c r="AA310" i="1"/>
  <c r="U310" i="1"/>
  <c r="T310" i="1" s="1"/>
  <c r="AE310" i="1"/>
  <c r="AQ309" i="1"/>
  <c r="AP309" i="1"/>
  <c r="AO309" i="1"/>
  <c r="AN309" i="1"/>
  <c r="AL309" i="1"/>
  <c r="AK309" i="1"/>
  <c r="AJ309" i="1"/>
  <c r="AI309" i="1"/>
  <c r="AA309" i="1"/>
  <c r="Z309" i="1"/>
  <c r="U309" i="1"/>
  <c r="T309" i="1" s="1"/>
  <c r="AE309" i="1"/>
  <c r="AQ308" i="1"/>
  <c r="AP308" i="1"/>
  <c r="AO308" i="1"/>
  <c r="AN308" i="1"/>
  <c r="AL308" i="1"/>
  <c r="AK308" i="1"/>
  <c r="AJ308" i="1"/>
  <c r="AI308" i="1"/>
  <c r="AA308" i="1"/>
  <c r="U308" i="1"/>
  <c r="T308" i="1" s="1"/>
  <c r="Q308" i="1" s="1"/>
  <c r="E308" i="1"/>
  <c r="F308" i="1" s="1"/>
  <c r="AE308" i="1" s="1"/>
  <c r="AQ307" i="1"/>
  <c r="AP307" i="1"/>
  <c r="AO307" i="1"/>
  <c r="AN307" i="1"/>
  <c r="AL307" i="1"/>
  <c r="AK307" i="1"/>
  <c r="AJ307" i="1"/>
  <c r="AI307" i="1"/>
  <c r="AA307" i="1"/>
  <c r="U307" i="1"/>
  <c r="T307" i="1" s="1"/>
  <c r="AE307" i="1"/>
  <c r="AQ305" i="1"/>
  <c r="AP305" i="1"/>
  <c r="AO305" i="1"/>
  <c r="AN305" i="1"/>
  <c r="AL305" i="1"/>
  <c r="AK305" i="1"/>
  <c r="AJ305" i="1"/>
  <c r="AI305" i="1"/>
  <c r="AA305" i="1"/>
  <c r="Z305" i="1"/>
  <c r="U305" i="1"/>
  <c r="T305" i="1" s="1"/>
  <c r="E305" i="1"/>
  <c r="F305" i="1" s="1"/>
  <c r="AE305" i="1" s="1"/>
  <c r="AQ304" i="1"/>
  <c r="AP304" i="1"/>
  <c r="AO304" i="1"/>
  <c r="AN304" i="1"/>
  <c r="AL304" i="1"/>
  <c r="AK304" i="1"/>
  <c r="AJ304" i="1"/>
  <c r="AI304" i="1"/>
  <c r="AA304" i="1"/>
  <c r="U304" i="1"/>
  <c r="T304" i="1" s="1"/>
  <c r="AE304" i="1"/>
  <c r="AQ303" i="1"/>
  <c r="AP303" i="1"/>
  <c r="AO303" i="1"/>
  <c r="AN303" i="1"/>
  <c r="AL303" i="1"/>
  <c r="AK303" i="1"/>
  <c r="AJ303" i="1"/>
  <c r="AI303" i="1"/>
  <c r="AA303" i="1"/>
  <c r="Z303" i="1"/>
  <c r="U303" i="1"/>
  <c r="T303" i="1" s="1"/>
  <c r="E303" i="1"/>
  <c r="F303" i="1" s="1"/>
  <c r="AE303" i="1" s="1"/>
  <c r="AQ302" i="1"/>
  <c r="AP302" i="1"/>
  <c r="AO302" i="1"/>
  <c r="AN302" i="1"/>
  <c r="AL302" i="1"/>
  <c r="AK302" i="1"/>
  <c r="AJ302" i="1"/>
  <c r="AI302" i="1"/>
  <c r="AA302" i="1"/>
  <c r="U302" i="1"/>
  <c r="T302" i="1" s="1"/>
  <c r="E302" i="1"/>
  <c r="F302" i="1" s="1"/>
  <c r="AE302" i="1" s="1"/>
  <c r="AQ301" i="1"/>
  <c r="AP301" i="1"/>
  <c r="AO301" i="1"/>
  <c r="AN301" i="1"/>
  <c r="AL301" i="1"/>
  <c r="AK301" i="1"/>
  <c r="AJ301" i="1"/>
  <c r="AI301" i="1"/>
  <c r="AA301" i="1"/>
  <c r="Z301" i="1"/>
  <c r="U301" i="1"/>
  <c r="T301" i="1" s="1"/>
  <c r="Q301" i="1"/>
  <c r="E301" i="1"/>
  <c r="F301" i="1" s="1"/>
  <c r="AE301" i="1" s="1"/>
  <c r="AQ300" i="1"/>
  <c r="AP300" i="1"/>
  <c r="AO300" i="1"/>
  <c r="AN300" i="1"/>
  <c r="AL300" i="1"/>
  <c r="AK300" i="1"/>
  <c r="AJ300" i="1"/>
  <c r="AI300" i="1"/>
  <c r="AA300" i="1"/>
  <c r="U300" i="1"/>
  <c r="T300" i="1" s="1"/>
  <c r="E300" i="1"/>
  <c r="F300" i="1" s="1"/>
  <c r="AE300" i="1" s="1"/>
  <c r="AQ299" i="1"/>
  <c r="AP299" i="1"/>
  <c r="AO299" i="1"/>
  <c r="AN299" i="1"/>
  <c r="AL299" i="1"/>
  <c r="AK299" i="1"/>
  <c r="AJ299" i="1"/>
  <c r="AI299" i="1"/>
  <c r="AA299" i="1"/>
  <c r="U299" i="1"/>
  <c r="T299" i="1" s="1"/>
  <c r="E299" i="1"/>
  <c r="F299" i="1" s="1"/>
  <c r="AE299" i="1" s="1"/>
  <c r="AQ298" i="1"/>
  <c r="AP298" i="1"/>
  <c r="AO298" i="1"/>
  <c r="AN298" i="1"/>
  <c r="AL298" i="1"/>
  <c r="AK298" i="1"/>
  <c r="AJ298" i="1"/>
  <c r="AI298" i="1"/>
  <c r="AA298" i="1"/>
  <c r="U298" i="1"/>
  <c r="T298" i="1" s="1"/>
  <c r="Q298" i="1" s="1"/>
  <c r="E298" i="1"/>
  <c r="F298" i="1" s="1"/>
  <c r="AE298" i="1" s="1"/>
  <c r="AQ297" i="1"/>
  <c r="AP297" i="1"/>
  <c r="AO297" i="1"/>
  <c r="AN297" i="1"/>
  <c r="AL297" i="1"/>
  <c r="AK297" i="1"/>
  <c r="AJ297" i="1"/>
  <c r="AI297" i="1"/>
  <c r="AA297" i="1"/>
  <c r="Z297" i="1"/>
  <c r="U297" i="1"/>
  <c r="T297" i="1" s="1"/>
  <c r="Q297" i="1"/>
  <c r="E297" i="1"/>
  <c r="F297" i="1" s="1"/>
  <c r="AE297" i="1" s="1"/>
  <c r="AQ296" i="1"/>
  <c r="AP296" i="1"/>
  <c r="AO296" i="1"/>
  <c r="AN296" i="1"/>
  <c r="AL296" i="1"/>
  <c r="AK296" i="1"/>
  <c r="AJ296" i="1"/>
  <c r="AI296" i="1"/>
  <c r="AA296" i="1"/>
  <c r="Z296" i="1"/>
  <c r="U296" i="1"/>
  <c r="T296" i="1" s="1"/>
  <c r="E296" i="1"/>
  <c r="F296" i="1" s="1"/>
  <c r="AE296" i="1" s="1"/>
  <c r="AQ292" i="1"/>
  <c r="AP292" i="1"/>
  <c r="AN292" i="1"/>
  <c r="AL292" i="1"/>
  <c r="AK292" i="1"/>
  <c r="AI292" i="1"/>
  <c r="AA292" i="1"/>
  <c r="Z292" i="1"/>
  <c r="U292" i="1"/>
  <c r="T292" i="1" s="1"/>
  <c r="E292" i="1"/>
  <c r="F292" i="1" s="1"/>
  <c r="AE292" i="1" s="1"/>
  <c r="AQ291" i="1"/>
  <c r="AP291" i="1"/>
  <c r="AO291" i="1"/>
  <c r="AN291" i="1"/>
  <c r="AL291" i="1"/>
  <c r="AK291" i="1"/>
  <c r="AJ291" i="1"/>
  <c r="AI291" i="1"/>
  <c r="AA291" i="1"/>
  <c r="Z291" i="1"/>
  <c r="U291" i="1"/>
  <c r="T291" i="1" s="1"/>
  <c r="E291" i="1"/>
  <c r="F291" i="1" s="1"/>
  <c r="AE291" i="1" s="1"/>
  <c r="AQ290" i="1"/>
  <c r="AP290" i="1"/>
  <c r="AO290" i="1"/>
  <c r="AN290" i="1"/>
  <c r="AL290" i="1"/>
  <c r="AK290" i="1"/>
  <c r="AJ290" i="1"/>
  <c r="AI290" i="1"/>
  <c r="AA290" i="1"/>
  <c r="Z290" i="1"/>
  <c r="U290" i="1"/>
  <c r="T290" i="1" s="1"/>
  <c r="E290" i="1"/>
  <c r="F290" i="1" s="1"/>
  <c r="AE290" i="1" s="1"/>
  <c r="AQ287" i="1"/>
  <c r="AP287" i="1"/>
  <c r="AN287" i="1"/>
  <c r="AL287" i="1"/>
  <c r="AK287" i="1"/>
  <c r="AI287" i="1"/>
  <c r="AA287" i="1"/>
  <c r="Z287" i="1"/>
  <c r="U287" i="1"/>
  <c r="T287" i="1" s="1"/>
  <c r="E287" i="1"/>
  <c r="F287" i="1" s="1"/>
  <c r="AE287" i="1" s="1"/>
  <c r="AQ286" i="1"/>
  <c r="AP286" i="1"/>
  <c r="AO286" i="1"/>
  <c r="AN286" i="1"/>
  <c r="AL286" i="1"/>
  <c r="AK286" i="1"/>
  <c r="AJ286" i="1"/>
  <c r="AI286" i="1"/>
  <c r="AA286" i="1"/>
  <c r="Z286" i="1"/>
  <c r="U286" i="1"/>
  <c r="T286" i="1" s="1"/>
  <c r="Q286" i="1" s="1"/>
  <c r="E286" i="1"/>
  <c r="F286" i="1" s="1"/>
  <c r="AE286" i="1" s="1"/>
  <c r="AQ284" i="1"/>
  <c r="AP284" i="1"/>
  <c r="AO284" i="1"/>
  <c r="AL284" i="1"/>
  <c r="AK284" i="1"/>
  <c r="AJ284" i="1"/>
  <c r="AA284" i="1"/>
  <c r="Z284" i="1"/>
  <c r="U284" i="1"/>
  <c r="T284" i="1" s="1"/>
  <c r="E284" i="1"/>
  <c r="F284" i="1" s="1"/>
  <c r="AE284" i="1" s="1"/>
  <c r="AQ281" i="1"/>
  <c r="AP281" i="1"/>
  <c r="AO281" i="1"/>
  <c r="AL281" i="1"/>
  <c r="AK281" i="1"/>
  <c r="AJ281" i="1"/>
  <c r="AA281" i="1"/>
  <c r="Z281" i="1"/>
  <c r="U281" i="1"/>
  <c r="E281" i="1"/>
  <c r="F281" i="1" s="1"/>
  <c r="AE281" i="1" s="1"/>
  <c r="AQ280" i="1"/>
  <c r="AP280" i="1"/>
  <c r="AO280" i="1"/>
  <c r="AL280" i="1"/>
  <c r="AK280" i="1"/>
  <c r="AJ280" i="1"/>
  <c r="AA280" i="1"/>
  <c r="Z280" i="1"/>
  <c r="U280" i="1"/>
  <c r="T280" i="1" s="1"/>
  <c r="E280" i="1"/>
  <c r="F280" i="1" s="1"/>
  <c r="AE280" i="1" s="1"/>
  <c r="AQ279" i="1"/>
  <c r="AP279" i="1"/>
  <c r="AO279" i="1"/>
  <c r="AL279" i="1"/>
  <c r="AK279" i="1"/>
  <c r="AJ279" i="1"/>
  <c r="AA279" i="1"/>
  <c r="U279" i="1"/>
  <c r="AQ278" i="1"/>
  <c r="AP278" i="1"/>
  <c r="AO278" i="1"/>
  <c r="AL278" i="1"/>
  <c r="AK278" i="1"/>
  <c r="AJ278" i="1"/>
  <c r="AA278" i="1"/>
  <c r="Z278" i="1"/>
  <c r="U278" i="1"/>
  <c r="T278" i="1" s="1"/>
  <c r="Q278" i="1"/>
  <c r="E278" i="1"/>
  <c r="F278" i="1" s="1"/>
  <c r="AE278" i="1" s="1"/>
  <c r="AQ277" i="1"/>
  <c r="AP277" i="1"/>
  <c r="AO277" i="1"/>
  <c r="AL277" i="1"/>
  <c r="AK277" i="1"/>
  <c r="AJ277" i="1"/>
  <c r="AE277" i="1"/>
  <c r="AA277" i="1"/>
  <c r="Z277" i="1"/>
  <c r="U277" i="1"/>
  <c r="T277" i="1" s="1"/>
  <c r="Q277" i="1"/>
  <c r="E277" i="1"/>
  <c r="F277" i="1" s="1"/>
  <c r="AQ276" i="1"/>
  <c r="AP276" i="1"/>
  <c r="AO276" i="1"/>
  <c r="AL276" i="1"/>
  <c r="AK276" i="1"/>
  <c r="AJ276" i="1"/>
  <c r="AA276" i="1"/>
  <c r="Z276" i="1"/>
  <c r="U276" i="1"/>
  <c r="T276" i="1" s="1"/>
  <c r="Q276" i="1" s="1"/>
  <c r="E276" i="1"/>
  <c r="F276" i="1" s="1"/>
  <c r="AE276" i="1" s="1"/>
  <c r="AQ275" i="1"/>
  <c r="AP275" i="1"/>
  <c r="AO275" i="1"/>
  <c r="AL275" i="1"/>
  <c r="AK275" i="1"/>
  <c r="AJ275" i="1"/>
  <c r="AA275" i="1"/>
  <c r="Z275" i="1"/>
  <c r="U275" i="1"/>
  <c r="T275" i="1" s="1"/>
  <c r="Q275" i="1"/>
  <c r="P275" i="1"/>
  <c r="E275" i="1"/>
  <c r="F275" i="1" s="1"/>
  <c r="AE275" i="1" s="1"/>
  <c r="O273" i="1"/>
  <c r="AQ272" i="1"/>
  <c r="AP272" i="1"/>
  <c r="AO272" i="1"/>
  <c r="AN272" i="1"/>
  <c r="AL272" i="1"/>
  <c r="AK272" i="1"/>
  <c r="AJ272" i="1"/>
  <c r="AI272" i="1"/>
  <c r="AE272" i="1"/>
  <c r="AA272" i="1"/>
  <c r="Z272" i="1"/>
  <c r="U272" i="1"/>
  <c r="T272" i="1" s="1"/>
  <c r="Q272" i="1"/>
  <c r="P272" i="1"/>
  <c r="E272" i="1"/>
  <c r="F272" i="1" s="1"/>
  <c r="M10" i="1"/>
  <c r="Q313" i="1" l="1"/>
  <c r="Q254" i="1"/>
  <c r="Q244" i="1"/>
  <c r="Z244" i="1" s="1"/>
  <c r="T244" i="1"/>
  <c r="AC244" i="1" s="1"/>
  <c r="AG244" i="1" s="1"/>
  <c r="AF244" i="1" s="1"/>
  <c r="Q250" i="1"/>
  <c r="Q290" i="1"/>
  <c r="X290" i="1" s="1"/>
  <c r="Q259" i="1"/>
  <c r="Z259" i="1" s="1"/>
  <c r="X277" i="1"/>
  <c r="Q253" i="1"/>
  <c r="Z253" i="1" s="1"/>
  <c r="X235" i="1"/>
  <c r="AN279" i="1"/>
  <c r="T279" i="1"/>
  <c r="AC279" i="1" s="1"/>
  <c r="AC286" i="1"/>
  <c r="AG286" i="1" s="1"/>
  <c r="AF286" i="1" s="1"/>
  <c r="AI281" i="1"/>
  <c r="T281" i="1"/>
  <c r="AC281" i="1" s="1"/>
  <c r="AG281" i="1" s="1"/>
  <c r="AF281" i="1" s="1"/>
  <c r="Q263" i="1"/>
  <c r="X276" i="1"/>
  <c r="X301" i="1"/>
  <c r="X209" i="1"/>
  <c r="Z209" i="1"/>
  <c r="X278" i="1"/>
  <c r="X310" i="1"/>
  <c r="AC229" i="1"/>
  <c r="X258" i="1"/>
  <c r="X302" i="1"/>
  <c r="X311" i="1"/>
  <c r="AC263" i="1"/>
  <c r="AG263" i="1" s="1"/>
  <c r="AF263" i="1" s="1"/>
  <c r="AC271" i="1"/>
  <c r="AG271" i="1" s="1"/>
  <c r="AF271" i="1" s="1"/>
  <c r="AC251" i="1"/>
  <c r="AG251" i="1" s="1"/>
  <c r="AF251" i="1" s="1"/>
  <c r="X262" i="1"/>
  <c r="AC252" i="1"/>
  <c r="AG252" i="1" s="1"/>
  <c r="AF252" i="1" s="1"/>
  <c r="Q255" i="1"/>
  <c r="Z255" i="1" s="1"/>
  <c r="X252" i="1"/>
  <c r="X234" i="1"/>
  <c r="AC235" i="1"/>
  <c r="AG235" i="1" s="1"/>
  <c r="AF235" i="1" s="1"/>
  <c r="AC296" i="1"/>
  <c r="AG296" i="1" s="1"/>
  <c r="AF296" i="1" s="1"/>
  <c r="AC234" i="1"/>
  <c r="AG234" i="1" s="1"/>
  <c r="AF234" i="1" s="1"/>
  <c r="X240" i="1"/>
  <c r="AC259" i="1"/>
  <c r="AG259" i="1" s="1"/>
  <c r="AF259" i="1" s="1"/>
  <c r="X305" i="1"/>
  <c r="X314" i="1"/>
  <c r="X307" i="1"/>
  <c r="X315" i="1"/>
  <c r="X231" i="1"/>
  <c r="X251" i="1"/>
  <c r="AC290" i="1"/>
  <c r="AG290" i="1" s="1"/>
  <c r="AF290" i="1" s="1"/>
  <c r="AC206" i="1"/>
  <c r="AG206" i="1" s="1"/>
  <c r="AF206" i="1" s="1"/>
  <c r="X272" i="1"/>
  <c r="X286" i="1"/>
  <c r="X297" i="1"/>
  <c r="AC250" i="1"/>
  <c r="AG250" i="1" s="1"/>
  <c r="AF250" i="1" s="1"/>
  <c r="X260" i="1"/>
  <c r="X268" i="1"/>
  <c r="X303" i="1"/>
  <c r="X308" i="1"/>
  <c r="X312" i="1"/>
  <c r="X316" i="1"/>
  <c r="AC240" i="1"/>
  <c r="AG240" i="1" s="1"/>
  <c r="AF240" i="1" s="1"/>
  <c r="AC241" i="1"/>
  <c r="AG241" i="1" s="1"/>
  <c r="AF241" i="1" s="1"/>
  <c r="AC268" i="1"/>
  <c r="AG268" i="1" s="1"/>
  <c r="AF268" i="1" s="1"/>
  <c r="X304" i="1"/>
  <c r="X309" i="1"/>
  <c r="X313" i="1"/>
  <c r="X229" i="1"/>
  <c r="X244" i="1"/>
  <c r="X248" i="1"/>
  <c r="X256" i="1"/>
  <c r="X257" i="1"/>
  <c r="AC260" i="1"/>
  <c r="AG260" i="1" s="1"/>
  <c r="AF260" i="1" s="1"/>
  <c r="Q230" i="1"/>
  <c r="X230" i="1" s="1"/>
  <c r="AC230" i="1"/>
  <c r="AG230" i="1" s="1"/>
  <c r="AF230" i="1" s="1"/>
  <c r="AC304" i="1"/>
  <c r="AG304" i="1" s="1"/>
  <c r="AF304" i="1" s="1"/>
  <c r="AC256" i="1"/>
  <c r="AG256" i="1" s="1"/>
  <c r="AF256" i="1" s="1"/>
  <c r="X261" i="1"/>
  <c r="AC312" i="1"/>
  <c r="AG312" i="1" s="1"/>
  <c r="AF312" i="1" s="1"/>
  <c r="Q236" i="1"/>
  <c r="X243" i="1"/>
  <c r="X254" i="1"/>
  <c r="AC255" i="1"/>
  <c r="AG255" i="1" s="1"/>
  <c r="AF255" i="1" s="1"/>
  <c r="AC257" i="1"/>
  <c r="AG257" i="1" s="1"/>
  <c r="AF257" i="1" s="1"/>
  <c r="AC261" i="1"/>
  <c r="AG261" i="1" s="1"/>
  <c r="AF261" i="1" s="1"/>
  <c r="AC262" i="1"/>
  <c r="AG262" i="1" s="1"/>
  <c r="AF262" i="1" s="1"/>
  <c r="X271" i="1"/>
  <c r="X239" i="1"/>
  <c r="X241" i="1"/>
  <c r="AC243" i="1"/>
  <c r="AG243" i="1" s="1"/>
  <c r="AF243" i="1" s="1"/>
  <c r="AC248" i="1"/>
  <c r="AG248" i="1" s="1"/>
  <c r="AF248" i="1" s="1"/>
  <c r="AC253" i="1"/>
  <c r="AG253" i="1" s="1"/>
  <c r="AF253" i="1" s="1"/>
  <c r="AC254" i="1"/>
  <c r="AG254" i="1" s="1"/>
  <c r="AF254" i="1" s="1"/>
  <c r="AC258" i="1"/>
  <c r="AG258" i="1" s="1"/>
  <c r="AF258" i="1" s="1"/>
  <c r="X267" i="1"/>
  <c r="AC267" i="1"/>
  <c r="AG267" i="1" s="1"/>
  <c r="AF267" i="1" s="1"/>
  <c r="AG239" i="1"/>
  <c r="AF239" i="1" s="1"/>
  <c r="AC236" i="1"/>
  <c r="AG236" i="1" s="1"/>
  <c r="AF236" i="1" s="1"/>
  <c r="X233" i="1"/>
  <c r="AC233" i="1"/>
  <c r="Q232" i="1"/>
  <c r="AP273" i="1"/>
  <c r="AP274" i="1" s="1"/>
  <c r="AC232" i="1"/>
  <c r="AG232" i="1" s="1"/>
  <c r="AF232" i="1" s="1"/>
  <c r="AC231" i="1"/>
  <c r="AG231" i="1" s="1"/>
  <c r="AF231" i="1" s="1"/>
  <c r="F229" i="1"/>
  <c r="AE229" i="1" s="1"/>
  <c r="AK317" i="1"/>
  <c r="AK318" i="1" s="1"/>
  <c r="AC291" i="1"/>
  <c r="AG291" i="1" s="1"/>
  <c r="AF291" i="1" s="1"/>
  <c r="AC308" i="1"/>
  <c r="AG308" i="1" s="1"/>
  <c r="AF308" i="1" s="1"/>
  <c r="AC303" i="1"/>
  <c r="AG303" i="1" s="1"/>
  <c r="AF303" i="1" s="1"/>
  <c r="AC307" i="1"/>
  <c r="AG307" i="1" s="1"/>
  <c r="AF307" i="1" s="1"/>
  <c r="AC314" i="1"/>
  <c r="AG314" i="1" s="1"/>
  <c r="AF314" i="1" s="1"/>
  <c r="AC315" i="1"/>
  <c r="AG315" i="1" s="1"/>
  <c r="AF315" i="1" s="1"/>
  <c r="AC299" i="1"/>
  <c r="AG299" i="1" s="1"/>
  <c r="AF299" i="1" s="1"/>
  <c r="AC310" i="1"/>
  <c r="AG310" i="1" s="1"/>
  <c r="AF310" i="1" s="1"/>
  <c r="AC316" i="1"/>
  <c r="AG316" i="1" s="1"/>
  <c r="AF316" i="1" s="1"/>
  <c r="AI276" i="1"/>
  <c r="AC276" i="1"/>
  <c r="AG276" i="1" s="1"/>
  <c r="AF276" i="1" s="1"/>
  <c r="AN276" i="1"/>
  <c r="AI278" i="1"/>
  <c r="AN278" i="1"/>
  <c r="AC278" i="1"/>
  <c r="AG278" i="1" s="1"/>
  <c r="AF278" i="1" s="1"/>
  <c r="AC298" i="1"/>
  <c r="AG298" i="1" s="1"/>
  <c r="AF298" i="1" s="1"/>
  <c r="Z304" i="1"/>
  <c r="Q292" i="1"/>
  <c r="X292" i="1" s="1"/>
  <c r="Z313" i="1"/>
  <c r="AA317" i="1"/>
  <c r="AB317" i="1" s="1"/>
  <c r="AA273" i="1"/>
  <c r="AB273" i="1" s="1"/>
  <c r="AC272" i="1"/>
  <c r="AG272" i="1" s="1"/>
  <c r="AF272" i="1" s="1"/>
  <c r="X275" i="1"/>
  <c r="AP317" i="1"/>
  <c r="AP318" i="1" s="1"/>
  <c r="AC297" i="1"/>
  <c r="AG297" i="1" s="1"/>
  <c r="AF297" i="1" s="1"/>
  <c r="AC313" i="1"/>
  <c r="AG313" i="1" s="1"/>
  <c r="AF313" i="1" s="1"/>
  <c r="AK273" i="1"/>
  <c r="AK274" i="1" s="1"/>
  <c r="AN281" i="1"/>
  <c r="AC301" i="1"/>
  <c r="AG301" i="1" s="1"/>
  <c r="AF301" i="1" s="1"/>
  <c r="AC309" i="1"/>
  <c r="AG309" i="1" s="1"/>
  <c r="AF309" i="1" s="1"/>
  <c r="AC305" i="1"/>
  <c r="AG305" i="1" s="1"/>
  <c r="AF305" i="1" s="1"/>
  <c r="AC300" i="1"/>
  <c r="AG300" i="1" s="1"/>
  <c r="AF300" i="1" s="1"/>
  <c r="Q281" i="1"/>
  <c r="X281" i="1" s="1"/>
  <c r="AI280" i="1"/>
  <c r="AN280" i="1"/>
  <c r="AC280" i="1"/>
  <c r="AG280" i="1" s="1"/>
  <c r="AF280" i="1" s="1"/>
  <c r="AI275" i="1"/>
  <c r="AN275" i="1"/>
  <c r="AC275" i="1"/>
  <c r="AO287" i="1"/>
  <c r="AJ287" i="1"/>
  <c r="Q287" i="1"/>
  <c r="X287" i="1" s="1"/>
  <c r="AC287" i="1"/>
  <c r="AG287" i="1" s="1"/>
  <c r="AF287" i="1" s="1"/>
  <c r="Z307" i="1"/>
  <c r="Q280" i="1"/>
  <c r="X280" i="1" s="1"/>
  <c r="Q296" i="1"/>
  <c r="X296" i="1" s="1"/>
  <c r="X300" i="1"/>
  <c r="AC311" i="1"/>
  <c r="AG311" i="1" s="1"/>
  <c r="AF311" i="1" s="1"/>
  <c r="AQ311" i="1"/>
  <c r="AL311" i="1"/>
  <c r="AL317" i="1" s="1"/>
  <c r="AL318" i="1" s="1"/>
  <c r="AN277" i="1"/>
  <c r="AC277" i="1"/>
  <c r="AG277" i="1" s="1"/>
  <c r="AF277" i="1" s="1"/>
  <c r="AI277" i="1"/>
  <c r="Q284" i="1"/>
  <c r="X284" i="1" s="1"/>
  <c r="AN284" i="1"/>
  <c r="AC284" i="1"/>
  <c r="AG284" i="1" s="1"/>
  <c r="AF284" i="1" s="1"/>
  <c r="AI284" i="1"/>
  <c r="AJ292" i="1"/>
  <c r="AC292" i="1"/>
  <c r="AG292" i="1" s="1"/>
  <c r="AF292" i="1" s="1"/>
  <c r="AO292" i="1"/>
  <c r="AC302" i="1"/>
  <c r="AG302" i="1" s="1"/>
  <c r="AF302" i="1" s="1"/>
  <c r="X299" i="1"/>
  <c r="AI279" i="1"/>
  <c r="AQ313" i="1"/>
  <c r="AO273" i="1"/>
  <c r="AO274" i="1" s="1"/>
  <c r="AL273" i="1"/>
  <c r="AL274" i="1" s="1"/>
  <c r="AQ273" i="1"/>
  <c r="AQ274" i="1" s="1"/>
  <c r="AJ273" i="1"/>
  <c r="AJ274" i="1" s="1"/>
  <c r="X263" i="1" l="1"/>
  <c r="Z263" i="1"/>
  <c r="X250" i="1"/>
  <c r="Z250" i="1"/>
  <c r="Q279" i="1"/>
  <c r="X253" i="1"/>
  <c r="X259" i="1"/>
  <c r="X255" i="1"/>
  <c r="AG229" i="1"/>
  <c r="AF229" i="1" s="1"/>
  <c r="X236" i="1"/>
  <c r="Z236" i="1"/>
  <c r="Z298" i="1"/>
  <c r="X298" i="1"/>
  <c r="X232" i="1"/>
  <c r="Z232" i="1"/>
  <c r="AQ317" i="1"/>
  <c r="AQ318" i="1" s="1"/>
  <c r="AJ317" i="1"/>
  <c r="AJ318" i="1" s="1"/>
  <c r="AG275" i="1"/>
  <c r="AF275" i="1" s="1"/>
  <c r="AI317" i="1"/>
  <c r="AI318" i="1" s="1"/>
  <c r="AI273" i="1"/>
  <c r="AI274" i="1" s="1"/>
  <c r="AM274" i="1" s="1"/>
  <c r="AO317" i="1"/>
  <c r="AO318" i="1" s="1"/>
  <c r="Z300" i="1"/>
  <c r="Z311" i="1"/>
  <c r="Z299" i="1"/>
  <c r="Z302" i="1"/>
  <c r="Z308" i="1"/>
  <c r="AN317" i="1"/>
  <c r="AN318" i="1" s="1"/>
  <c r="Z310" i="1"/>
  <c r="AN273" i="1"/>
  <c r="Q9" i="1"/>
  <c r="AR318" i="1" l="1"/>
  <c r="AM318" i="1"/>
  <c r="X279" i="1"/>
  <c r="Z279" i="1"/>
  <c r="Z317" i="1" s="1"/>
  <c r="Y317" i="1" s="1"/>
  <c r="AM273" i="1"/>
  <c r="AM317" i="1"/>
  <c r="AR273" i="1"/>
  <c r="AN274" i="1"/>
  <c r="AR274" i="1" s="1"/>
  <c r="AR317" i="1"/>
  <c r="Z273" i="1"/>
  <c r="Q273" i="1" s="1"/>
  <c r="Q11" i="1"/>
  <c r="L11" i="1" s="1"/>
  <c r="V11" i="1" s="1"/>
  <c r="Q10" i="1"/>
  <c r="Q317" i="1" l="1"/>
  <c r="Y273" i="1"/>
  <c r="Q426" i="1" l="1"/>
  <c r="Q418" i="1"/>
  <c r="Q197" i="1"/>
  <c r="Q222" i="1"/>
  <c r="Q223" i="1"/>
  <c r="AQ197" i="1" l="1"/>
  <c r="AP197" i="1"/>
  <c r="AN197" i="1"/>
  <c r="AL197" i="1"/>
  <c r="AK197" i="1"/>
  <c r="AI197" i="1"/>
  <c r="AA197" i="1"/>
  <c r="U197" i="1"/>
  <c r="T197" i="1" s="1"/>
  <c r="P197" i="1"/>
  <c r="E197" i="1"/>
  <c r="F197" i="1" s="1"/>
  <c r="AE197" i="1" s="1"/>
  <c r="AC197" i="1" l="1"/>
  <c r="AG197" i="1" s="1"/>
  <c r="AF197" i="1" s="1"/>
  <c r="AJ197" i="1"/>
  <c r="AO197" i="1"/>
  <c r="X197" i="1" l="1"/>
  <c r="Z197" i="1"/>
  <c r="U2" i="1"/>
  <c r="AQ212" i="1" l="1"/>
  <c r="AP212" i="1"/>
  <c r="AO212" i="1"/>
  <c r="AN212" i="1"/>
  <c r="AL212" i="1"/>
  <c r="AK212" i="1"/>
  <c r="AJ212" i="1"/>
  <c r="AI212" i="1"/>
  <c r="AA212" i="1"/>
  <c r="U212" i="1"/>
  <c r="T212" i="1" s="1"/>
  <c r="P212" i="1"/>
  <c r="E212" i="1"/>
  <c r="F212" i="1" s="1"/>
  <c r="AE212" i="1" s="1"/>
  <c r="AC212" i="1" l="1"/>
  <c r="AG212" i="1" s="1"/>
  <c r="AF212" i="1" s="1"/>
  <c r="Q212" i="1"/>
  <c r="E203" i="1"/>
  <c r="F203" i="1" s="1"/>
  <c r="X212" i="1" l="1"/>
  <c r="Z212" i="1"/>
  <c r="AQ201" i="1"/>
  <c r="AP201" i="1"/>
  <c r="AO201" i="1"/>
  <c r="AN201" i="1"/>
  <c r="AL201" i="1"/>
  <c r="AK201" i="1"/>
  <c r="AJ201" i="1"/>
  <c r="AI201" i="1"/>
  <c r="AA201" i="1"/>
  <c r="U201" i="1"/>
  <c r="T201" i="1" s="1"/>
  <c r="E201" i="1"/>
  <c r="F201" i="1" s="1"/>
  <c r="AE201" i="1" s="1"/>
  <c r="Q201" i="1" l="1"/>
  <c r="AC201" i="1"/>
  <c r="AG201" i="1" s="1"/>
  <c r="AF201" i="1" s="1"/>
  <c r="AP219" i="1"/>
  <c r="AO219" i="1"/>
  <c r="AN219" i="1"/>
  <c r="AK219" i="1"/>
  <c r="AJ219" i="1"/>
  <c r="AI219" i="1"/>
  <c r="AA219" i="1"/>
  <c r="U219" i="1"/>
  <c r="T219" i="1" s="1"/>
  <c r="AQ219" i="1" s="1"/>
  <c r="P219" i="1"/>
  <c r="E219" i="1"/>
  <c r="F219" i="1" s="1"/>
  <c r="AE219" i="1" s="1"/>
  <c r="AC3" i="1"/>
  <c r="X201" i="1" l="1"/>
  <c r="Z201" i="1"/>
  <c r="AL219" i="1"/>
  <c r="Q219" i="1"/>
  <c r="AC219" i="1"/>
  <c r="AG219" i="1" s="1"/>
  <c r="AF219" i="1" s="1"/>
  <c r="X219" i="1" l="1"/>
  <c r="Z219" i="1"/>
  <c r="P174" i="1"/>
  <c r="AP174" i="1"/>
  <c r="AO174" i="1"/>
  <c r="AN174" i="1"/>
  <c r="AK174" i="1"/>
  <c r="AJ174" i="1"/>
  <c r="AI174" i="1"/>
  <c r="AA174" i="1"/>
  <c r="Z174" i="1"/>
  <c r="U174" i="1"/>
  <c r="T174" i="1" s="1"/>
  <c r="E174" i="1"/>
  <c r="F174" i="1" s="1"/>
  <c r="AE174" i="1" s="1"/>
  <c r="P177" i="1"/>
  <c r="AQ198" i="1"/>
  <c r="AP198" i="1"/>
  <c r="AN198" i="1"/>
  <c r="AL198" i="1"/>
  <c r="AK198" i="1"/>
  <c r="AI198" i="1"/>
  <c r="AA198" i="1"/>
  <c r="U198" i="1"/>
  <c r="T198" i="1" s="1"/>
  <c r="P198" i="1"/>
  <c r="E198" i="1"/>
  <c r="F198" i="1" s="1"/>
  <c r="AE198" i="1" s="1"/>
  <c r="AC198" i="1" l="1"/>
  <c r="AG198" i="1" s="1"/>
  <c r="AF198" i="1" s="1"/>
  <c r="AL174" i="1"/>
  <c r="AC174" i="1"/>
  <c r="AG174" i="1" s="1"/>
  <c r="AF174" i="1" s="1"/>
  <c r="AQ174" i="1"/>
  <c r="Q174" i="1"/>
  <c r="X174" i="1" s="1"/>
  <c r="AO198" i="1"/>
  <c r="AJ198" i="1"/>
  <c r="Q198" i="1"/>
  <c r="X198" i="1" l="1"/>
  <c r="Z198" i="1"/>
  <c r="AQ208" i="1"/>
  <c r="AP208" i="1"/>
  <c r="AO208" i="1"/>
  <c r="AN208" i="1"/>
  <c r="AL208" i="1"/>
  <c r="AK208" i="1"/>
  <c r="AJ208" i="1"/>
  <c r="AI208" i="1"/>
  <c r="AA208" i="1"/>
  <c r="U208" i="1"/>
  <c r="T208" i="1" s="1"/>
  <c r="E208" i="1"/>
  <c r="F208" i="1" s="1"/>
  <c r="AE208" i="1" s="1"/>
  <c r="AC208" i="1" l="1"/>
  <c r="AG208" i="1" s="1"/>
  <c r="AF208" i="1" s="1"/>
  <c r="Q208" i="1"/>
  <c r="P169" i="1"/>
  <c r="X208" i="1" l="1"/>
  <c r="Z208" i="1"/>
  <c r="AQ170" i="1"/>
  <c r="AP170" i="1"/>
  <c r="AO170" i="1"/>
  <c r="AN170" i="1"/>
  <c r="AL170" i="1"/>
  <c r="AK170" i="1"/>
  <c r="AJ170" i="1"/>
  <c r="AI170" i="1"/>
  <c r="AA170" i="1"/>
  <c r="Z170" i="1"/>
  <c r="U170" i="1"/>
  <c r="T170" i="1" s="1"/>
  <c r="Q170" i="1"/>
  <c r="P170" i="1"/>
  <c r="E170" i="1"/>
  <c r="F170" i="1" s="1"/>
  <c r="AE170" i="1" s="1"/>
  <c r="AQ189" i="1"/>
  <c r="AP189" i="1"/>
  <c r="AO189" i="1"/>
  <c r="AL189" i="1"/>
  <c r="AK189" i="1"/>
  <c r="AJ189" i="1"/>
  <c r="AA189" i="1"/>
  <c r="U189" i="1"/>
  <c r="T189" i="1" s="1"/>
  <c r="P189" i="1"/>
  <c r="E189" i="1"/>
  <c r="F189" i="1" s="1"/>
  <c r="AE189" i="1" s="1"/>
  <c r="AQ205" i="1"/>
  <c r="AP205" i="1"/>
  <c r="AO205" i="1"/>
  <c r="AN205" i="1"/>
  <c r="AL205" i="1"/>
  <c r="AK205" i="1"/>
  <c r="AJ205" i="1"/>
  <c r="AI205" i="1"/>
  <c r="AA205" i="1"/>
  <c r="U205" i="1"/>
  <c r="T205" i="1" s="1"/>
  <c r="P205" i="1"/>
  <c r="E205" i="1"/>
  <c r="F205" i="1" s="1"/>
  <c r="AE205" i="1" s="1"/>
  <c r="AQ190" i="1"/>
  <c r="AP190" i="1"/>
  <c r="AO190" i="1"/>
  <c r="AL190" i="1"/>
  <c r="AK190" i="1"/>
  <c r="AJ190" i="1"/>
  <c r="AE190" i="1"/>
  <c r="AA190" i="1"/>
  <c r="Z190" i="1"/>
  <c r="U190" i="1"/>
  <c r="T190" i="1" s="1"/>
  <c r="AN190" i="1" s="1"/>
  <c r="Q190" i="1"/>
  <c r="P190" i="1"/>
  <c r="E190" i="1"/>
  <c r="F190" i="1" s="1"/>
  <c r="AQ188" i="1"/>
  <c r="AP188" i="1"/>
  <c r="AO188" i="1"/>
  <c r="AL188" i="1"/>
  <c r="AK188" i="1"/>
  <c r="AJ188" i="1"/>
  <c r="AE188" i="1"/>
  <c r="AA188" i="1"/>
  <c r="Z188" i="1"/>
  <c r="U188" i="1"/>
  <c r="T188" i="1" s="1"/>
  <c r="AN188" i="1" s="1"/>
  <c r="Q188" i="1"/>
  <c r="P188" i="1"/>
  <c r="E188" i="1"/>
  <c r="F188" i="1" s="1"/>
  <c r="AQ187" i="1"/>
  <c r="AP187" i="1"/>
  <c r="AO187" i="1"/>
  <c r="AL187" i="1"/>
  <c r="AK187" i="1"/>
  <c r="AJ187" i="1"/>
  <c r="AE187" i="1"/>
  <c r="AA187" i="1"/>
  <c r="Z187" i="1"/>
  <c r="U187" i="1"/>
  <c r="T187" i="1" s="1"/>
  <c r="AN187" i="1" s="1"/>
  <c r="Q187" i="1"/>
  <c r="P187" i="1"/>
  <c r="E187" i="1"/>
  <c r="F187" i="1" s="1"/>
  <c r="AQ203" i="1"/>
  <c r="AP203" i="1"/>
  <c r="AO203" i="1"/>
  <c r="AN203" i="1"/>
  <c r="AL203" i="1"/>
  <c r="AK203" i="1"/>
  <c r="AJ203" i="1"/>
  <c r="AI203" i="1"/>
  <c r="AA203" i="1"/>
  <c r="U203" i="1"/>
  <c r="T203" i="1" s="1"/>
  <c r="P203" i="1"/>
  <c r="AE203" i="1"/>
  <c r="AQ202" i="1"/>
  <c r="AP202" i="1"/>
  <c r="AO202" i="1"/>
  <c r="AN202" i="1"/>
  <c r="AL202" i="1"/>
  <c r="AK202" i="1"/>
  <c r="AJ202" i="1"/>
  <c r="AI202" i="1"/>
  <c r="AA202" i="1"/>
  <c r="U202" i="1"/>
  <c r="T202" i="1" s="1"/>
  <c r="P202" i="1"/>
  <c r="E202" i="1"/>
  <c r="F202" i="1" s="1"/>
  <c r="AE202" i="1" s="1"/>
  <c r="AQ172" i="1"/>
  <c r="AP172" i="1"/>
  <c r="AO172" i="1"/>
  <c r="AN172" i="1"/>
  <c r="AL172" i="1"/>
  <c r="AK172" i="1"/>
  <c r="AJ172" i="1"/>
  <c r="AI172" i="1"/>
  <c r="AA172" i="1"/>
  <c r="U172" i="1"/>
  <c r="P172" i="1"/>
  <c r="E172" i="1"/>
  <c r="F172" i="1" s="1"/>
  <c r="AE172" i="1" s="1"/>
  <c r="AC170" i="1" l="1"/>
  <c r="AG170" i="1" s="1"/>
  <c r="AF170" i="1" s="1"/>
  <c r="X170" i="1"/>
  <c r="AC189" i="1"/>
  <c r="AG189" i="1" s="1"/>
  <c r="AF189" i="1" s="1"/>
  <c r="AI189" i="1"/>
  <c r="AN189" i="1"/>
  <c r="AI187" i="1"/>
  <c r="AI190" i="1"/>
  <c r="AI188" i="1"/>
  <c r="Q189" i="1"/>
  <c r="AC205" i="1"/>
  <c r="AG205" i="1" s="1"/>
  <c r="AF205" i="1" s="1"/>
  <c r="Q205" i="1"/>
  <c r="X190" i="1"/>
  <c r="X187" i="1"/>
  <c r="AC190" i="1"/>
  <c r="AG190" i="1" s="1"/>
  <c r="AF190" i="1" s="1"/>
  <c r="X188" i="1"/>
  <c r="AC203" i="1"/>
  <c r="AG203" i="1" s="1"/>
  <c r="AF203" i="1" s="1"/>
  <c r="AC187" i="1"/>
  <c r="AG187" i="1" s="1"/>
  <c r="AF187" i="1" s="1"/>
  <c r="AC188" i="1"/>
  <c r="AG188" i="1" s="1"/>
  <c r="AF188" i="1" s="1"/>
  <c r="Q203" i="1"/>
  <c r="Q202" i="1"/>
  <c r="AC202" i="1"/>
  <c r="AG202" i="1" s="1"/>
  <c r="AF202" i="1" s="1"/>
  <c r="Q172" i="1"/>
  <c r="AC172" i="1"/>
  <c r="AG172" i="1" s="1"/>
  <c r="AF172" i="1" s="1"/>
  <c r="AQ193" i="1"/>
  <c r="AP193" i="1"/>
  <c r="AO193" i="1"/>
  <c r="AL193" i="1"/>
  <c r="AK193" i="1"/>
  <c r="AJ193" i="1"/>
  <c r="AA193" i="1"/>
  <c r="U193" i="1"/>
  <c r="T193" i="1" s="1"/>
  <c r="P193" i="1"/>
  <c r="E193" i="1"/>
  <c r="F193" i="1" s="1"/>
  <c r="AE193" i="1" s="1"/>
  <c r="X205" i="1" l="1"/>
  <c r="Z205" i="1"/>
  <c r="X189" i="1"/>
  <c r="Z189" i="1"/>
  <c r="X203" i="1"/>
  <c r="Z203" i="1"/>
  <c r="X202" i="1"/>
  <c r="Z202" i="1"/>
  <c r="X172" i="1"/>
  <c r="Z172" i="1"/>
  <c r="AC193" i="1"/>
  <c r="AG193" i="1" s="1"/>
  <c r="AF193" i="1" s="1"/>
  <c r="AN193" i="1"/>
  <c r="AI193" i="1"/>
  <c r="Q193" i="1"/>
  <c r="AQ196" i="1"/>
  <c r="AP196" i="1"/>
  <c r="AO196" i="1"/>
  <c r="AN196" i="1"/>
  <c r="AL196" i="1"/>
  <c r="AK196" i="1"/>
  <c r="AJ196" i="1"/>
  <c r="AI196" i="1"/>
  <c r="AA196" i="1"/>
  <c r="Z196" i="1"/>
  <c r="U196" i="1"/>
  <c r="T196" i="1" s="1"/>
  <c r="Q196" i="1"/>
  <c r="P196" i="1"/>
  <c r="E196" i="1"/>
  <c r="F196" i="1" s="1"/>
  <c r="AE196" i="1" s="1"/>
  <c r="X193" i="1" l="1"/>
  <c r="Z193" i="1"/>
  <c r="X196" i="1"/>
  <c r="AC196" i="1"/>
  <c r="AG196" i="1" s="1"/>
  <c r="AF196" i="1" s="1"/>
  <c r="AQ195" i="1" l="1"/>
  <c r="AP195" i="1"/>
  <c r="AN195" i="1"/>
  <c r="AL195" i="1"/>
  <c r="AK195" i="1"/>
  <c r="AI195" i="1"/>
  <c r="AA195" i="1"/>
  <c r="U195" i="1"/>
  <c r="T195" i="1" s="1"/>
  <c r="Q195" i="1" s="1"/>
  <c r="Z195" i="1" s="1"/>
  <c r="E195" i="1"/>
  <c r="F195" i="1" s="1"/>
  <c r="AE195" i="1" s="1"/>
  <c r="AQ211" i="1"/>
  <c r="AP211" i="1"/>
  <c r="AO211" i="1"/>
  <c r="AN211" i="1"/>
  <c r="AL211" i="1"/>
  <c r="AK211" i="1"/>
  <c r="AJ211" i="1"/>
  <c r="AI211" i="1"/>
  <c r="AA211" i="1"/>
  <c r="U211" i="1"/>
  <c r="T211" i="1" s="1"/>
  <c r="P211" i="1"/>
  <c r="E211" i="1"/>
  <c r="F211" i="1" s="1"/>
  <c r="AE211" i="1" s="1"/>
  <c r="AQ199" i="1"/>
  <c r="AP199" i="1"/>
  <c r="AO199" i="1"/>
  <c r="AN199" i="1"/>
  <c r="AL199" i="1"/>
  <c r="AK199" i="1"/>
  <c r="AJ199" i="1"/>
  <c r="AI199" i="1"/>
  <c r="AA199" i="1"/>
  <c r="U199" i="1"/>
  <c r="T199" i="1" s="1"/>
  <c r="P199" i="1"/>
  <c r="E199" i="1"/>
  <c r="F199" i="1" s="1"/>
  <c r="AE199" i="1" s="1"/>
  <c r="AJ195" i="1" l="1"/>
  <c r="AO195" i="1"/>
  <c r="Q211" i="1"/>
  <c r="X195" i="1"/>
  <c r="AC195" i="1"/>
  <c r="AG195" i="1" s="1"/>
  <c r="AF195" i="1" s="1"/>
  <c r="AC199" i="1"/>
  <c r="AG199" i="1" s="1"/>
  <c r="AF199" i="1" s="1"/>
  <c r="AC211" i="1"/>
  <c r="AG211" i="1" s="1"/>
  <c r="AF211" i="1" s="1"/>
  <c r="Q199" i="1"/>
  <c r="X199" i="1" l="1"/>
  <c r="Z199" i="1"/>
  <c r="X211" i="1"/>
  <c r="Z211" i="1"/>
  <c r="AQ204" i="1"/>
  <c r="AP204" i="1"/>
  <c r="AO204" i="1"/>
  <c r="AN204" i="1"/>
  <c r="AL204" i="1"/>
  <c r="AK204" i="1"/>
  <c r="AJ204" i="1"/>
  <c r="AI204" i="1"/>
  <c r="AA204" i="1"/>
  <c r="Z204" i="1"/>
  <c r="U204" i="1"/>
  <c r="T204" i="1" s="1"/>
  <c r="Q204" i="1"/>
  <c r="P204" i="1"/>
  <c r="E204" i="1"/>
  <c r="F204" i="1" s="1"/>
  <c r="AE204" i="1" s="1"/>
  <c r="X204" i="1" l="1"/>
  <c r="AC204" i="1"/>
  <c r="AG204" i="1" s="1"/>
  <c r="AF204" i="1" s="1"/>
  <c r="AQ154" i="1" l="1"/>
  <c r="AP154" i="1"/>
  <c r="AN154" i="1"/>
  <c r="AL154" i="1"/>
  <c r="AK154" i="1"/>
  <c r="AI154" i="1"/>
  <c r="AA154" i="1"/>
  <c r="Z154" i="1"/>
  <c r="U154" i="1"/>
  <c r="T154" i="1" s="1"/>
  <c r="P154" i="1"/>
  <c r="E154" i="1"/>
  <c r="F154" i="1" s="1"/>
  <c r="AE154" i="1" s="1"/>
  <c r="AC154" i="1" l="1"/>
  <c r="AG154" i="1" s="1"/>
  <c r="AF154" i="1" s="1"/>
  <c r="Q154" i="1"/>
  <c r="X154" i="1" s="1"/>
  <c r="AO154" i="1"/>
  <c r="AJ154" i="1"/>
  <c r="AP179" i="1"/>
  <c r="AO179" i="1"/>
  <c r="AN179" i="1"/>
  <c r="AK179" i="1"/>
  <c r="AJ179" i="1"/>
  <c r="AI179" i="1"/>
  <c r="AA179" i="1"/>
  <c r="Z179" i="1"/>
  <c r="U179" i="1"/>
  <c r="T179" i="1" s="1"/>
  <c r="P179" i="1"/>
  <c r="E179" i="1"/>
  <c r="F179" i="1" s="1"/>
  <c r="AE179" i="1" s="1"/>
  <c r="Q179" i="1" l="1"/>
  <c r="X179" i="1" s="1"/>
  <c r="AQ179" i="1"/>
  <c r="AL179" i="1"/>
  <c r="AC179" i="1"/>
  <c r="AG179" i="1" s="1"/>
  <c r="AF179" i="1" s="1"/>
  <c r="AP181" i="1"/>
  <c r="AO181" i="1"/>
  <c r="AN181" i="1"/>
  <c r="AK181" i="1"/>
  <c r="AJ181" i="1"/>
  <c r="AI181" i="1"/>
  <c r="AA181" i="1"/>
  <c r="U181" i="1"/>
  <c r="T181" i="1" s="1"/>
  <c r="P181" i="1"/>
  <c r="E181" i="1"/>
  <c r="F181" i="1" s="1"/>
  <c r="AE181" i="1" s="1"/>
  <c r="O184" i="1"/>
  <c r="AQ167" i="1"/>
  <c r="AP167" i="1"/>
  <c r="AO167" i="1"/>
  <c r="AN167" i="1"/>
  <c r="AL167" i="1"/>
  <c r="AK167" i="1"/>
  <c r="AJ167" i="1"/>
  <c r="AI167" i="1"/>
  <c r="AA167" i="1"/>
  <c r="U167" i="1"/>
  <c r="T167" i="1" s="1"/>
  <c r="P167" i="1"/>
  <c r="E167" i="1"/>
  <c r="F167" i="1" s="1"/>
  <c r="AE167" i="1" s="1"/>
  <c r="E221" i="1"/>
  <c r="F221" i="1" s="1"/>
  <c r="AP178" i="1"/>
  <c r="AO178" i="1"/>
  <c r="AN178" i="1"/>
  <c r="AK178" i="1"/>
  <c r="AJ178" i="1"/>
  <c r="AI178" i="1"/>
  <c r="AA178" i="1"/>
  <c r="Z178" i="1"/>
  <c r="U178" i="1"/>
  <c r="T178" i="1" s="1"/>
  <c r="Q178" i="1"/>
  <c r="P178" i="1"/>
  <c r="E178" i="1"/>
  <c r="F178" i="1" s="1"/>
  <c r="AE178" i="1" s="1"/>
  <c r="X178" i="1" l="1"/>
  <c r="Q181" i="1"/>
  <c r="AQ181" i="1"/>
  <c r="AL181" i="1"/>
  <c r="AC181" i="1"/>
  <c r="AG181" i="1" s="1"/>
  <c r="AF181" i="1" s="1"/>
  <c r="AC167" i="1"/>
  <c r="AG167" i="1" s="1"/>
  <c r="AF167" i="1" s="1"/>
  <c r="Q167" i="1"/>
  <c r="AQ178" i="1"/>
  <c r="AL178" i="1"/>
  <c r="AC178" i="1"/>
  <c r="AG178" i="1" s="1"/>
  <c r="AF178" i="1" s="1"/>
  <c r="X167" i="1" l="1"/>
  <c r="Z167" i="1"/>
  <c r="X181" i="1"/>
  <c r="Z181" i="1"/>
  <c r="AQ191" i="1"/>
  <c r="AP191" i="1"/>
  <c r="AO191" i="1"/>
  <c r="AL191" i="1"/>
  <c r="AK191" i="1"/>
  <c r="AJ191" i="1"/>
  <c r="AA191" i="1"/>
  <c r="U191" i="1"/>
  <c r="T191" i="1" s="1"/>
  <c r="AN191" i="1" s="1"/>
  <c r="P191" i="1"/>
  <c r="E191" i="1"/>
  <c r="F191" i="1" s="1"/>
  <c r="AE191" i="1" s="1"/>
  <c r="AI191" i="1" l="1"/>
  <c r="Q191" i="1"/>
  <c r="AC191" i="1"/>
  <c r="AG191" i="1" s="1"/>
  <c r="AF191" i="1" s="1"/>
  <c r="AP180" i="1"/>
  <c r="AO180" i="1"/>
  <c r="AN180" i="1"/>
  <c r="AK180" i="1"/>
  <c r="AJ180" i="1"/>
  <c r="AI180" i="1"/>
  <c r="AA180" i="1"/>
  <c r="U180" i="1"/>
  <c r="T180" i="1" s="1"/>
  <c r="P180" i="1"/>
  <c r="E180" i="1"/>
  <c r="F180" i="1" s="1"/>
  <c r="AE180" i="1" s="1"/>
  <c r="AC180" i="1" l="1"/>
  <c r="AG180" i="1" s="1"/>
  <c r="AF180" i="1" s="1"/>
  <c r="AL180" i="1"/>
  <c r="AQ180" i="1"/>
  <c r="X191" i="1"/>
  <c r="Z191" i="1"/>
  <c r="Q180" i="1"/>
  <c r="P147" i="1"/>
  <c r="AQ147" i="1"/>
  <c r="AP147" i="1"/>
  <c r="AO147" i="1"/>
  <c r="AL147" i="1"/>
  <c r="AK147" i="1"/>
  <c r="AJ147" i="1"/>
  <c r="AA147" i="1"/>
  <c r="U147" i="1"/>
  <c r="T147" i="1" s="1"/>
  <c r="E147" i="1"/>
  <c r="F147" i="1" s="1"/>
  <c r="AE147" i="1" s="1"/>
  <c r="X180" i="1" l="1"/>
  <c r="Z180" i="1"/>
  <c r="Q147" i="1"/>
  <c r="AN147" i="1"/>
  <c r="AI147" i="1"/>
  <c r="AC147" i="1"/>
  <c r="AG147" i="1" s="1"/>
  <c r="AF147" i="1" s="1"/>
  <c r="U177" i="1"/>
  <c r="AP175" i="1"/>
  <c r="AO175" i="1"/>
  <c r="AN175" i="1"/>
  <c r="AK175" i="1"/>
  <c r="AJ175" i="1"/>
  <c r="AI175" i="1"/>
  <c r="AA175" i="1"/>
  <c r="Z175" i="1"/>
  <c r="U175" i="1"/>
  <c r="T175" i="1" s="1"/>
  <c r="AQ175" i="1" s="1"/>
  <c r="P175" i="1"/>
  <c r="E175" i="1"/>
  <c r="F175" i="1" s="1"/>
  <c r="AE175" i="1" s="1"/>
  <c r="Z147" i="1" l="1"/>
  <c r="X147" i="1"/>
  <c r="AL175" i="1"/>
  <c r="Q175" i="1"/>
  <c r="X175" i="1" s="1"/>
  <c r="AC175" i="1"/>
  <c r="AG175" i="1" s="1"/>
  <c r="AF175" i="1" s="1"/>
  <c r="AP138" i="1"/>
  <c r="AO138" i="1"/>
  <c r="AN138" i="1"/>
  <c r="AK138" i="1"/>
  <c r="AJ138" i="1"/>
  <c r="AI138" i="1"/>
  <c r="AA138" i="1"/>
  <c r="U138" i="1"/>
  <c r="T138" i="1" s="1"/>
  <c r="AQ138" i="1" s="1"/>
  <c r="P138" i="1"/>
  <c r="E138" i="1"/>
  <c r="F138" i="1" s="1"/>
  <c r="AE138" i="1" s="1"/>
  <c r="AL138" i="1" l="1"/>
  <c r="Q138" i="1"/>
  <c r="AC138" i="1"/>
  <c r="AG138" i="1" s="1"/>
  <c r="AF138" i="1" s="1"/>
  <c r="AQ164" i="1"/>
  <c r="AP164" i="1"/>
  <c r="AO164" i="1"/>
  <c r="AN164" i="1"/>
  <c r="AL164" i="1"/>
  <c r="AK164" i="1"/>
  <c r="AJ164" i="1"/>
  <c r="AI164" i="1"/>
  <c r="AA164" i="1"/>
  <c r="Z164" i="1"/>
  <c r="U164" i="1"/>
  <c r="T164" i="1" s="1"/>
  <c r="Q164" i="1"/>
  <c r="P164" i="1"/>
  <c r="E164" i="1"/>
  <c r="F164" i="1" s="1"/>
  <c r="AE164" i="1" s="1"/>
  <c r="E165" i="1"/>
  <c r="F165" i="1" s="1"/>
  <c r="AE165" i="1" s="1"/>
  <c r="P165" i="1"/>
  <c r="U165" i="1"/>
  <c r="T165" i="1" s="1"/>
  <c r="AA165" i="1"/>
  <c r="AI165" i="1"/>
  <c r="AJ165" i="1"/>
  <c r="AL165" i="1"/>
  <c r="AN165" i="1"/>
  <c r="AO165" i="1"/>
  <c r="AQ165" i="1"/>
  <c r="AC164" i="1" l="1"/>
  <c r="AG164" i="1" s="1"/>
  <c r="AF164" i="1" s="1"/>
  <c r="X138" i="1"/>
  <c r="Z138" i="1"/>
  <c r="AC165" i="1"/>
  <c r="AG165" i="1" s="1"/>
  <c r="AF165" i="1" s="1"/>
  <c r="X164" i="1"/>
  <c r="Q165" i="1"/>
  <c r="X165" i="1" s="1"/>
  <c r="AP165" i="1"/>
  <c r="AK165" i="1"/>
  <c r="Z165" i="1" l="1"/>
  <c r="AQ162" i="1"/>
  <c r="AP162" i="1"/>
  <c r="AN162" i="1"/>
  <c r="AL162" i="1"/>
  <c r="AK162" i="1"/>
  <c r="AI162" i="1"/>
  <c r="AA162" i="1"/>
  <c r="Z162" i="1"/>
  <c r="U162" i="1"/>
  <c r="T162" i="1" s="1"/>
  <c r="P162" i="1"/>
  <c r="E162" i="1"/>
  <c r="F162" i="1" s="1"/>
  <c r="AE162" i="1" s="1"/>
  <c r="AC162" i="1" l="1"/>
  <c r="AG162" i="1" s="1"/>
  <c r="AF162" i="1" s="1"/>
  <c r="Q162" i="1"/>
  <c r="X162" i="1" s="1"/>
  <c r="AJ162" i="1"/>
  <c r="AO162" i="1"/>
  <c r="AQ130" i="1" l="1"/>
  <c r="AP130" i="1"/>
  <c r="AO130" i="1"/>
  <c r="AN130" i="1"/>
  <c r="AL130" i="1"/>
  <c r="AK130" i="1"/>
  <c r="AJ130" i="1"/>
  <c r="AI130" i="1"/>
  <c r="AA130" i="1"/>
  <c r="Z130" i="1"/>
  <c r="U130" i="1"/>
  <c r="T130" i="1" s="1"/>
  <c r="Q130" i="1"/>
  <c r="P130" i="1"/>
  <c r="E130" i="1"/>
  <c r="F130" i="1" s="1"/>
  <c r="AE130" i="1" s="1"/>
  <c r="X130" i="1" l="1"/>
  <c r="AC130" i="1"/>
  <c r="AG130" i="1" s="1"/>
  <c r="AF130" i="1" s="1"/>
  <c r="AP177" i="1"/>
  <c r="AO177" i="1"/>
  <c r="AN177" i="1"/>
  <c r="AK177" i="1"/>
  <c r="AJ177" i="1"/>
  <c r="AI177" i="1"/>
  <c r="AA177" i="1"/>
  <c r="Z177" i="1"/>
  <c r="T177" i="1"/>
  <c r="AQ177" i="1" s="1"/>
  <c r="E177" i="1"/>
  <c r="F177" i="1" s="1"/>
  <c r="AE177" i="1" s="1"/>
  <c r="AL177" i="1" l="1"/>
  <c r="Q177" i="1"/>
  <c r="X177" i="1" s="1"/>
  <c r="AC177" i="1"/>
  <c r="AG177" i="1" s="1"/>
  <c r="AF177" i="1" s="1"/>
  <c r="AQ160" i="1"/>
  <c r="AP160" i="1"/>
  <c r="AN160" i="1"/>
  <c r="AL160" i="1"/>
  <c r="AK160" i="1"/>
  <c r="AI160" i="1"/>
  <c r="AA160" i="1"/>
  <c r="Z160" i="1"/>
  <c r="U160" i="1"/>
  <c r="T160" i="1" s="1"/>
  <c r="P160" i="1"/>
  <c r="E160" i="1"/>
  <c r="F160" i="1" s="1"/>
  <c r="AE160" i="1" s="1"/>
  <c r="AC160" i="1" l="1"/>
  <c r="AG160" i="1" s="1"/>
  <c r="AF160" i="1" s="1"/>
  <c r="AO160" i="1"/>
  <c r="AJ160" i="1"/>
  <c r="Q160" i="1"/>
  <c r="X160" i="1" s="1"/>
  <c r="AQ158" i="1"/>
  <c r="AP158" i="1"/>
  <c r="AN158" i="1"/>
  <c r="AL158" i="1"/>
  <c r="AK158" i="1"/>
  <c r="AI158" i="1"/>
  <c r="AA158" i="1"/>
  <c r="Z158" i="1"/>
  <c r="U158" i="1"/>
  <c r="T158" i="1" s="1"/>
  <c r="P158" i="1"/>
  <c r="E158" i="1"/>
  <c r="F158" i="1" s="1"/>
  <c r="AE158" i="1" s="1"/>
  <c r="Q158" i="1" l="1"/>
  <c r="X158" i="1" s="1"/>
  <c r="AJ158" i="1"/>
  <c r="AO158" i="1"/>
  <c r="AC158" i="1"/>
  <c r="AG158" i="1" s="1"/>
  <c r="AF158" i="1" s="1"/>
  <c r="AQ159" i="1"/>
  <c r="AP159" i="1"/>
  <c r="AO159" i="1"/>
  <c r="AN159" i="1"/>
  <c r="AL159" i="1"/>
  <c r="AK159" i="1"/>
  <c r="AJ159" i="1"/>
  <c r="AI159" i="1"/>
  <c r="AA159" i="1"/>
  <c r="U159" i="1"/>
  <c r="T159" i="1" s="1"/>
  <c r="P159" i="1"/>
  <c r="E159" i="1"/>
  <c r="F159" i="1" s="1"/>
  <c r="AE159" i="1" s="1"/>
  <c r="AQ146" i="1"/>
  <c r="AP146" i="1"/>
  <c r="AO146" i="1"/>
  <c r="AL146" i="1"/>
  <c r="AK146" i="1"/>
  <c r="AJ146" i="1"/>
  <c r="AA146" i="1"/>
  <c r="U146" i="1"/>
  <c r="T146" i="1" s="1"/>
  <c r="P146" i="1"/>
  <c r="E146" i="1"/>
  <c r="F146" i="1" s="1"/>
  <c r="AE146" i="1" s="1"/>
  <c r="AQ155" i="1"/>
  <c r="AP155" i="1"/>
  <c r="AN155" i="1"/>
  <c r="AL155" i="1"/>
  <c r="AK155" i="1"/>
  <c r="AI155" i="1"/>
  <c r="AA155" i="1"/>
  <c r="Z155" i="1"/>
  <c r="U155" i="1"/>
  <c r="T155" i="1" s="1"/>
  <c r="P155" i="1"/>
  <c r="E155" i="1"/>
  <c r="F155" i="1" s="1"/>
  <c r="AE155" i="1" s="1"/>
  <c r="E153" i="1"/>
  <c r="F153" i="1" s="1"/>
  <c r="AE153" i="1" s="1"/>
  <c r="P153" i="1"/>
  <c r="Q153" i="1"/>
  <c r="U153" i="1"/>
  <c r="T153" i="1" s="1"/>
  <c r="Z153" i="1"/>
  <c r="AA153" i="1"/>
  <c r="AI153" i="1"/>
  <c r="AK153" i="1"/>
  <c r="AL153" i="1"/>
  <c r="AN153" i="1"/>
  <c r="AP153" i="1"/>
  <c r="AQ153" i="1"/>
  <c r="AQ156" i="1"/>
  <c r="AP156" i="1"/>
  <c r="AN156" i="1"/>
  <c r="AL156" i="1"/>
  <c r="AK156" i="1"/>
  <c r="AI156" i="1"/>
  <c r="AA156" i="1"/>
  <c r="U156" i="1"/>
  <c r="T156" i="1" s="1"/>
  <c r="P156" i="1"/>
  <c r="E156" i="1"/>
  <c r="F156" i="1" s="1"/>
  <c r="AE156" i="1" s="1"/>
  <c r="AQ163" i="1"/>
  <c r="AN163" i="1"/>
  <c r="AL163" i="1"/>
  <c r="AI163" i="1"/>
  <c r="AA163" i="1"/>
  <c r="U163" i="1"/>
  <c r="T163" i="1" s="1"/>
  <c r="AO163" i="1" s="1"/>
  <c r="P163" i="1"/>
  <c r="E163" i="1"/>
  <c r="F163" i="1" l="1"/>
  <c r="AE163" i="1" s="1"/>
  <c r="Q163" i="1"/>
  <c r="Q146" i="1"/>
  <c r="AJ163" i="1"/>
  <c r="Q159" i="1"/>
  <c r="AC155" i="1"/>
  <c r="AG155" i="1" s="1"/>
  <c r="AF155" i="1" s="1"/>
  <c r="AC159" i="1"/>
  <c r="AG159" i="1" s="1"/>
  <c r="AF159" i="1" s="1"/>
  <c r="Q156" i="1"/>
  <c r="AI146" i="1"/>
  <c r="AN146" i="1"/>
  <c r="AJ155" i="1"/>
  <c r="AO155" i="1"/>
  <c r="AC146" i="1"/>
  <c r="AG146" i="1" s="1"/>
  <c r="AF146" i="1" s="1"/>
  <c r="Q155" i="1"/>
  <c r="X155" i="1" s="1"/>
  <c r="AJ153" i="1"/>
  <c r="AO153" i="1"/>
  <c r="AO156" i="1"/>
  <c r="AJ156" i="1"/>
  <c r="X153" i="1"/>
  <c r="AC153" i="1"/>
  <c r="AG153" i="1" s="1"/>
  <c r="AF153" i="1" s="1"/>
  <c r="AC156" i="1"/>
  <c r="AG156" i="1" s="1"/>
  <c r="AF156" i="1" s="1"/>
  <c r="AP163" i="1"/>
  <c r="AK163" i="1"/>
  <c r="AC163" i="1"/>
  <c r="AQ151" i="1"/>
  <c r="AP151" i="1"/>
  <c r="AO151" i="1"/>
  <c r="AL151" i="1"/>
  <c r="AK151" i="1"/>
  <c r="AJ151" i="1"/>
  <c r="AA151" i="1"/>
  <c r="U151" i="1"/>
  <c r="T151" i="1" s="1"/>
  <c r="P151" i="1"/>
  <c r="E151" i="1"/>
  <c r="F151" i="1" s="1"/>
  <c r="AE151" i="1" s="1"/>
  <c r="AP136" i="1"/>
  <c r="AO136" i="1"/>
  <c r="AN136" i="1"/>
  <c r="AK136" i="1"/>
  <c r="AJ136" i="1"/>
  <c r="AI136" i="1"/>
  <c r="AA136" i="1"/>
  <c r="U136" i="1"/>
  <c r="T136" i="1" s="1"/>
  <c r="AQ136" i="1" s="1"/>
  <c r="P136" i="1"/>
  <c r="E136" i="1"/>
  <c r="F136" i="1" s="1"/>
  <c r="AE136" i="1" s="1"/>
  <c r="AP139" i="1"/>
  <c r="AO139" i="1"/>
  <c r="AN139" i="1"/>
  <c r="AK139" i="1"/>
  <c r="AJ139" i="1"/>
  <c r="AI139" i="1"/>
  <c r="AA139" i="1"/>
  <c r="U139" i="1"/>
  <c r="T139" i="1" s="1"/>
  <c r="P139" i="1"/>
  <c r="E139" i="1"/>
  <c r="F139" i="1" s="1"/>
  <c r="AE139" i="1" s="1"/>
  <c r="E169" i="1"/>
  <c r="F169" i="1" s="1"/>
  <c r="AE169" i="1" s="1"/>
  <c r="AQ169" i="1"/>
  <c r="AO169" i="1"/>
  <c r="AN169" i="1"/>
  <c r="AL169" i="1"/>
  <c r="AJ169" i="1"/>
  <c r="AI169" i="1"/>
  <c r="AA169" i="1"/>
  <c r="U169" i="1"/>
  <c r="T169" i="1" s="1"/>
  <c r="AK169" i="1" s="1"/>
  <c r="AP131" i="1"/>
  <c r="AO131" i="1"/>
  <c r="AN131" i="1"/>
  <c r="AK131" i="1"/>
  <c r="AJ131" i="1"/>
  <c r="AI131" i="1"/>
  <c r="AA131" i="1"/>
  <c r="U131" i="1"/>
  <c r="T131" i="1" s="1"/>
  <c r="P131" i="1"/>
  <c r="E131" i="1"/>
  <c r="F131" i="1" s="1"/>
  <c r="AE131" i="1" s="1"/>
  <c r="AG163" i="1" l="1"/>
  <c r="AF163" i="1" s="1"/>
  <c r="X159" i="1"/>
  <c r="Z159" i="1"/>
  <c r="X163" i="1"/>
  <c r="Z163" i="1"/>
  <c r="X156" i="1"/>
  <c r="Z156" i="1"/>
  <c r="X146" i="1"/>
  <c r="Z146" i="1"/>
  <c r="Q151" i="1"/>
  <c r="AC139" i="1"/>
  <c r="AG139" i="1" s="1"/>
  <c r="AF139" i="1" s="1"/>
  <c r="AC136" i="1"/>
  <c r="AG136" i="1" s="1"/>
  <c r="AF136" i="1" s="1"/>
  <c r="AL136" i="1"/>
  <c r="AI151" i="1"/>
  <c r="AC151" i="1"/>
  <c r="AG151" i="1" s="1"/>
  <c r="AF151" i="1" s="1"/>
  <c r="AN151" i="1"/>
  <c r="Q136" i="1"/>
  <c r="AL139" i="1"/>
  <c r="AQ139" i="1"/>
  <c r="Q139" i="1"/>
  <c r="AC131" i="1"/>
  <c r="AG131" i="1" s="1"/>
  <c r="AF131" i="1" s="1"/>
  <c r="AP169" i="1"/>
  <c r="Q169" i="1"/>
  <c r="AC169" i="1"/>
  <c r="AG169" i="1" s="1"/>
  <c r="AF169" i="1" s="1"/>
  <c r="AL131" i="1"/>
  <c r="Q131" i="1"/>
  <c r="AQ131" i="1"/>
  <c r="AQ192" i="1"/>
  <c r="AP192" i="1"/>
  <c r="AO192" i="1"/>
  <c r="AL192" i="1"/>
  <c r="AK192" i="1"/>
  <c r="AJ192" i="1"/>
  <c r="AA192" i="1"/>
  <c r="U192" i="1"/>
  <c r="T192" i="1" s="1"/>
  <c r="AI192" i="1" s="1"/>
  <c r="E192" i="1"/>
  <c r="F192" i="1" s="1"/>
  <c r="AE192" i="1" s="1"/>
  <c r="Q218" i="1"/>
  <c r="Q213" i="1"/>
  <c r="Q210" i="1"/>
  <c r="Q207" i="1"/>
  <c r="Q200" i="1"/>
  <c r="P223" i="1"/>
  <c r="P222" i="1"/>
  <c r="P221" i="1"/>
  <c r="P218" i="1"/>
  <c r="P217" i="1"/>
  <c r="P215" i="1"/>
  <c r="P213" i="1"/>
  <c r="P210" i="1"/>
  <c r="P207" i="1"/>
  <c r="P200" i="1"/>
  <c r="P194" i="1"/>
  <c r="P186" i="1"/>
  <c r="O224" i="1"/>
  <c r="AQ223" i="1"/>
  <c r="AP223" i="1"/>
  <c r="AO223" i="1"/>
  <c r="AN223" i="1"/>
  <c r="AL223" i="1"/>
  <c r="AK223" i="1"/>
  <c r="AJ223" i="1"/>
  <c r="AI223" i="1"/>
  <c r="AE223" i="1"/>
  <c r="AA223" i="1"/>
  <c r="Z223" i="1"/>
  <c r="U223" i="1"/>
  <c r="T223" i="1" s="1"/>
  <c r="E223" i="1"/>
  <c r="F223" i="1" s="1"/>
  <c r="AP222" i="1"/>
  <c r="AO222" i="1"/>
  <c r="AN222" i="1"/>
  <c r="AK222" i="1"/>
  <c r="AJ222" i="1"/>
  <c r="AI222" i="1"/>
  <c r="AE222" i="1"/>
  <c r="AA222" i="1"/>
  <c r="Z222" i="1"/>
  <c r="U222" i="1"/>
  <c r="T222" i="1" s="1"/>
  <c r="E222" i="1"/>
  <c r="F222" i="1" s="1"/>
  <c r="AQ221" i="1"/>
  <c r="AO221" i="1"/>
  <c r="AN221" i="1"/>
  <c r="AL221" i="1"/>
  <c r="AJ221" i="1"/>
  <c r="AI221" i="1"/>
  <c r="AA221" i="1"/>
  <c r="Z221" i="1"/>
  <c r="U221" i="1"/>
  <c r="T221" i="1" s="1"/>
  <c r="AK221" i="1" s="1"/>
  <c r="AE221" i="1"/>
  <c r="AP218" i="1"/>
  <c r="AO218" i="1"/>
  <c r="AN218" i="1"/>
  <c r="AK218" i="1"/>
  <c r="AJ218" i="1"/>
  <c r="AI218" i="1"/>
  <c r="AA218" i="1"/>
  <c r="Z218" i="1"/>
  <c r="U218" i="1"/>
  <c r="T218" i="1" s="1"/>
  <c r="AQ218" i="1" s="1"/>
  <c r="E218" i="1"/>
  <c r="F218" i="1" s="1"/>
  <c r="AE218" i="1" s="1"/>
  <c r="AP217" i="1"/>
  <c r="AO217" i="1"/>
  <c r="AN217" i="1"/>
  <c r="AJ217" i="1"/>
  <c r="AI217" i="1"/>
  <c r="AA217" i="1"/>
  <c r="U217" i="1"/>
  <c r="T217" i="1" s="1"/>
  <c r="AK217" i="1" s="1"/>
  <c r="E217" i="1"/>
  <c r="F217" i="1" s="1"/>
  <c r="AE217" i="1" s="1"/>
  <c r="AQ215" i="1"/>
  <c r="AP215" i="1"/>
  <c r="AN215" i="1"/>
  <c r="AL215" i="1"/>
  <c r="AK215" i="1"/>
  <c r="AI215" i="1"/>
  <c r="AA215" i="1"/>
  <c r="U215" i="1"/>
  <c r="T215" i="1" s="1"/>
  <c r="E215" i="1"/>
  <c r="F215" i="1" s="1"/>
  <c r="AE215" i="1" s="1"/>
  <c r="AQ213" i="1"/>
  <c r="AP213" i="1"/>
  <c r="AN213" i="1"/>
  <c r="AL213" i="1"/>
  <c r="AK213" i="1"/>
  <c r="AI213" i="1"/>
  <c r="AA213" i="1"/>
  <c r="Z213" i="1"/>
  <c r="U213" i="1"/>
  <c r="T213" i="1" s="1"/>
  <c r="AJ213" i="1" s="1"/>
  <c r="E213" i="1"/>
  <c r="F213" i="1" s="1"/>
  <c r="AE213" i="1" s="1"/>
  <c r="AQ210" i="1"/>
  <c r="AP210" i="1"/>
  <c r="AN210" i="1"/>
  <c r="AL210" i="1"/>
  <c r="AK210" i="1"/>
  <c r="AI210" i="1"/>
  <c r="AA210" i="1"/>
  <c r="U210" i="1"/>
  <c r="T210" i="1" s="1"/>
  <c r="E210" i="1"/>
  <c r="F210" i="1" s="1"/>
  <c r="AE210" i="1" s="1"/>
  <c r="AQ207" i="1"/>
  <c r="AP207" i="1"/>
  <c r="AO207" i="1"/>
  <c r="AL207" i="1"/>
  <c r="AK207" i="1"/>
  <c r="AJ207" i="1"/>
  <c r="AA207" i="1"/>
  <c r="Z207" i="1"/>
  <c r="U207" i="1"/>
  <c r="T207" i="1" s="1"/>
  <c r="E207" i="1"/>
  <c r="F207" i="1" s="1"/>
  <c r="AE207" i="1" s="1"/>
  <c r="AQ200" i="1"/>
  <c r="AP200" i="1"/>
  <c r="AO200" i="1"/>
  <c r="AN200" i="1"/>
  <c r="AL200" i="1"/>
  <c r="AK200" i="1"/>
  <c r="AJ200" i="1"/>
  <c r="AI200" i="1"/>
  <c r="AA200" i="1"/>
  <c r="U200" i="1"/>
  <c r="T200" i="1" s="1"/>
  <c r="E200" i="1"/>
  <c r="F200" i="1" s="1"/>
  <c r="AE200" i="1" s="1"/>
  <c r="AQ194" i="1"/>
  <c r="AP194" i="1"/>
  <c r="AO194" i="1"/>
  <c r="AN194" i="1"/>
  <c r="AL194" i="1"/>
  <c r="AK194" i="1"/>
  <c r="AJ194" i="1"/>
  <c r="AI194" i="1"/>
  <c r="AA194" i="1"/>
  <c r="AC194" i="1" s="1"/>
  <c r="Z194" i="1"/>
  <c r="U194" i="1"/>
  <c r="Q194" i="1"/>
  <c r="E194" i="1"/>
  <c r="F194" i="1" s="1"/>
  <c r="AE194" i="1" s="1"/>
  <c r="AQ186" i="1"/>
  <c r="AP186" i="1"/>
  <c r="AO186" i="1"/>
  <c r="AL186" i="1"/>
  <c r="AK186" i="1"/>
  <c r="AJ186" i="1"/>
  <c r="AA186" i="1"/>
  <c r="Z186" i="1"/>
  <c r="U186" i="1"/>
  <c r="T186" i="1" s="1"/>
  <c r="Q186" i="1"/>
  <c r="E186" i="1"/>
  <c r="AQ426" i="1"/>
  <c r="AP426" i="1"/>
  <c r="AO426" i="1"/>
  <c r="AN426" i="1"/>
  <c r="AL426" i="1"/>
  <c r="AK426" i="1"/>
  <c r="AJ426" i="1"/>
  <c r="AI426" i="1"/>
  <c r="AE426" i="1"/>
  <c r="AA426" i="1"/>
  <c r="Z426" i="1"/>
  <c r="U426" i="1"/>
  <c r="T426" i="1" s="1"/>
  <c r="P426" i="1"/>
  <c r="E426" i="1"/>
  <c r="F426" i="1" s="1"/>
  <c r="AP133" i="1"/>
  <c r="AO133" i="1"/>
  <c r="AN133" i="1"/>
  <c r="AK133" i="1"/>
  <c r="AJ133" i="1"/>
  <c r="AI133" i="1"/>
  <c r="AA133" i="1"/>
  <c r="U133" i="1"/>
  <c r="T133" i="1" s="1"/>
  <c r="P133" i="1"/>
  <c r="E133" i="1"/>
  <c r="F133" i="1" s="1"/>
  <c r="AE133" i="1" s="1"/>
  <c r="Q215" i="1" l="1"/>
  <c r="AL217" i="1"/>
  <c r="AQ217" i="1"/>
  <c r="Q217" i="1"/>
  <c r="Z217" i="1" s="1"/>
  <c r="Q221" i="1"/>
  <c r="X221" i="1" s="1"/>
  <c r="X139" i="1"/>
  <c r="Z139" i="1"/>
  <c r="X169" i="1"/>
  <c r="Z169" i="1"/>
  <c r="X151" i="1"/>
  <c r="Z151" i="1"/>
  <c r="X136" i="1"/>
  <c r="Z136" i="1"/>
  <c r="X131" i="1"/>
  <c r="Z131" i="1"/>
  <c r="X218" i="1"/>
  <c r="X222" i="1"/>
  <c r="Q133" i="1"/>
  <c r="Z133" i="1" s="1"/>
  <c r="X194" i="1"/>
  <c r="X213" i="1"/>
  <c r="AG194" i="1"/>
  <c r="AF194" i="1" s="1"/>
  <c r="AC217" i="1"/>
  <c r="AG217" i="1" s="1"/>
  <c r="AF217" i="1" s="1"/>
  <c r="X223" i="1"/>
  <c r="X200" i="1"/>
  <c r="X210" i="1"/>
  <c r="X207" i="1"/>
  <c r="AC223" i="1"/>
  <c r="AG223" i="1" s="1"/>
  <c r="AF223" i="1" s="1"/>
  <c r="AN192" i="1"/>
  <c r="AC426" i="1"/>
  <c r="AG426" i="1" s="1"/>
  <c r="AF426" i="1" s="1"/>
  <c r="Q192" i="1"/>
  <c r="AC192" i="1"/>
  <c r="AG192" i="1" s="1"/>
  <c r="AF192" i="1" s="1"/>
  <c r="X186" i="1"/>
  <c r="AA224" i="1"/>
  <c r="AB224" i="1" s="1"/>
  <c r="AC215" i="1"/>
  <c r="AG215" i="1" s="1"/>
  <c r="AF215" i="1" s="1"/>
  <c r="D224" i="1"/>
  <c r="AQ222" i="1"/>
  <c r="AL222" i="1"/>
  <c r="AC222" i="1"/>
  <c r="AG222" i="1" s="1"/>
  <c r="AF222" i="1" s="1"/>
  <c r="AN186" i="1"/>
  <c r="AC186" i="1"/>
  <c r="AI186" i="1"/>
  <c r="AC210" i="1"/>
  <c r="AG210" i="1" s="1"/>
  <c r="AF210" i="1" s="1"/>
  <c r="AO210" i="1"/>
  <c r="AJ210" i="1"/>
  <c r="AC200" i="1"/>
  <c r="AG200" i="1" s="1"/>
  <c r="AF200" i="1" s="1"/>
  <c r="AN207" i="1"/>
  <c r="AC207" i="1"/>
  <c r="AG207" i="1" s="1"/>
  <c r="AF207" i="1" s="1"/>
  <c r="AI207" i="1"/>
  <c r="AJ215" i="1"/>
  <c r="AO213" i="1"/>
  <c r="AC213" i="1"/>
  <c r="AG213" i="1" s="1"/>
  <c r="AF213" i="1" s="1"/>
  <c r="AC218" i="1"/>
  <c r="AG218" i="1" s="1"/>
  <c r="AF218" i="1" s="1"/>
  <c r="AL218" i="1"/>
  <c r="AP221" i="1"/>
  <c r="AO215" i="1"/>
  <c r="AC221" i="1"/>
  <c r="AG221" i="1" s="1"/>
  <c r="AF221" i="1" s="1"/>
  <c r="F186" i="1"/>
  <c r="AE186" i="1" s="1"/>
  <c r="AE224" i="1" s="1"/>
  <c r="H224" i="1"/>
  <c r="AL133" i="1"/>
  <c r="AQ133" i="1"/>
  <c r="X426" i="1"/>
  <c r="AC133" i="1"/>
  <c r="AG133" i="1" s="1"/>
  <c r="AF133" i="1" s="1"/>
  <c r="AQ127" i="1"/>
  <c r="AO127" i="1"/>
  <c r="AN127" i="1"/>
  <c r="AL127" i="1"/>
  <c r="AJ127" i="1"/>
  <c r="AI127" i="1"/>
  <c r="AA127" i="1"/>
  <c r="U127" i="1"/>
  <c r="T127" i="1" s="1"/>
  <c r="P127" i="1"/>
  <c r="E127" i="1"/>
  <c r="F127" i="1" s="1"/>
  <c r="AE127" i="1" s="1"/>
  <c r="E279" i="1" l="1"/>
  <c r="X215" i="1"/>
  <c r="Z215" i="1"/>
  <c r="J224" i="1"/>
  <c r="X217" i="1"/>
  <c r="AQ224" i="1"/>
  <c r="AJ224" i="1"/>
  <c r="X133" i="1"/>
  <c r="AC127" i="1"/>
  <c r="AG127" i="1" s="1"/>
  <c r="AF127" i="1" s="1"/>
  <c r="AL224" i="1"/>
  <c r="X192" i="1"/>
  <c r="Z192" i="1"/>
  <c r="Q127" i="1"/>
  <c r="X127" i="1" s="1"/>
  <c r="AP224" i="1"/>
  <c r="AO224" i="1"/>
  <c r="AK224" i="1"/>
  <c r="AN224" i="1"/>
  <c r="AI224" i="1"/>
  <c r="AI225" i="1" s="1"/>
  <c r="Z200" i="1"/>
  <c r="Z210" i="1"/>
  <c r="AG186" i="1"/>
  <c r="AK127" i="1"/>
  <c r="AP127" i="1"/>
  <c r="AQ149" i="1"/>
  <c r="AP149" i="1"/>
  <c r="AO149" i="1"/>
  <c r="AL149" i="1"/>
  <c r="AK149" i="1"/>
  <c r="AJ149" i="1"/>
  <c r="AA149" i="1"/>
  <c r="U149" i="1"/>
  <c r="T149" i="1" s="1"/>
  <c r="AN149" i="1" s="1"/>
  <c r="P149" i="1"/>
  <c r="E149" i="1"/>
  <c r="F149" i="1" s="1"/>
  <c r="AE149" i="1" s="1"/>
  <c r="AP134" i="1"/>
  <c r="AO134" i="1"/>
  <c r="AN134" i="1"/>
  <c r="AK134" i="1"/>
  <c r="AJ134" i="1"/>
  <c r="AI134" i="1"/>
  <c r="AA134" i="1"/>
  <c r="U134" i="1"/>
  <c r="T134" i="1" s="1"/>
  <c r="AQ134" i="1" s="1"/>
  <c r="P134" i="1"/>
  <c r="E134" i="1"/>
  <c r="F134" i="1" s="1"/>
  <c r="AE134" i="1" s="1"/>
  <c r="AJ225" i="1" l="1"/>
  <c r="AO402" i="1"/>
  <c r="AO225" i="1"/>
  <c r="F279" i="1"/>
  <c r="AE279" i="1" s="1"/>
  <c r="D317" i="1"/>
  <c r="H317" i="1"/>
  <c r="AK225" i="1"/>
  <c r="AN402" i="1"/>
  <c r="AN225" i="1"/>
  <c r="AL225" i="1"/>
  <c r="AP402" i="1"/>
  <c r="AP225" i="1"/>
  <c r="AQ402" i="1"/>
  <c r="AQ225" i="1"/>
  <c r="AI149" i="1"/>
  <c r="Z127" i="1"/>
  <c r="AR224" i="1"/>
  <c r="AM224" i="1"/>
  <c r="AF186" i="1"/>
  <c r="AF224" i="1" s="1"/>
  <c r="M224" i="1" s="1"/>
  <c r="AG224" i="1"/>
  <c r="AH224" i="1" s="1"/>
  <c r="Z224" i="1"/>
  <c r="AL134" i="1"/>
  <c r="Q149" i="1"/>
  <c r="AC149" i="1"/>
  <c r="AG149" i="1" s="1"/>
  <c r="AF149" i="1" s="1"/>
  <c r="Q134" i="1"/>
  <c r="AC134" i="1"/>
  <c r="AG134" i="1" s="1"/>
  <c r="AF134" i="1" s="1"/>
  <c r="AO135" i="1"/>
  <c r="AN135" i="1"/>
  <c r="AJ135" i="1"/>
  <c r="AI135" i="1"/>
  <c r="AA135" i="1"/>
  <c r="U135" i="1"/>
  <c r="T135" i="1" s="1"/>
  <c r="AQ135" i="1" s="1"/>
  <c r="P135" i="1"/>
  <c r="E135" i="1"/>
  <c r="F135" i="1" s="1"/>
  <c r="AE135" i="1" s="1"/>
  <c r="AP140" i="1"/>
  <c r="AO140" i="1"/>
  <c r="AN140" i="1"/>
  <c r="AK140" i="1"/>
  <c r="AJ140" i="1"/>
  <c r="AI140" i="1"/>
  <c r="AA140" i="1"/>
  <c r="U140" i="1"/>
  <c r="T140" i="1" s="1"/>
  <c r="AQ140" i="1" s="1"/>
  <c r="P140" i="1"/>
  <c r="E140" i="1"/>
  <c r="F140" i="1" s="1"/>
  <c r="AE140" i="1" s="1"/>
  <c r="E141" i="1"/>
  <c r="F141" i="1" s="1"/>
  <c r="AE141" i="1" s="1"/>
  <c r="P141" i="1"/>
  <c r="Q141" i="1"/>
  <c r="U141" i="1"/>
  <c r="T141" i="1" s="1"/>
  <c r="Z141" i="1"/>
  <c r="AA141" i="1"/>
  <c r="AI141" i="1"/>
  <c r="AJ141" i="1"/>
  <c r="AK141" i="1"/>
  <c r="AL141" i="1"/>
  <c r="AN141" i="1"/>
  <c r="AO141" i="1"/>
  <c r="AP141" i="1"/>
  <c r="AQ141" i="1"/>
  <c r="B362" i="1" l="1"/>
  <c r="B401" i="1"/>
  <c r="AE317" i="1"/>
  <c r="AG279" i="1"/>
  <c r="AM225" i="1"/>
  <c r="J317" i="1"/>
  <c r="AM402" i="1"/>
  <c r="AR402" i="1"/>
  <c r="AR225" i="1"/>
  <c r="AL140" i="1"/>
  <c r="Q140" i="1"/>
  <c r="Z140" i="1" s="1"/>
  <c r="X134" i="1"/>
  <c r="Z134" i="1"/>
  <c r="Q224" i="1"/>
  <c r="Y224" i="1"/>
  <c r="X149" i="1"/>
  <c r="Z149" i="1"/>
  <c r="AC141" i="1"/>
  <c r="AG141" i="1" s="1"/>
  <c r="AF141" i="1" s="1"/>
  <c r="AL135" i="1"/>
  <c r="AP135" i="1"/>
  <c r="AK135" i="1"/>
  <c r="Q135" i="1"/>
  <c r="AC135" i="1"/>
  <c r="AG135" i="1" s="1"/>
  <c r="AF135" i="1" s="1"/>
  <c r="X141" i="1"/>
  <c r="AC140" i="1"/>
  <c r="AG140" i="1" s="1"/>
  <c r="AF140" i="1" s="1"/>
  <c r="AO176" i="1"/>
  <c r="AN176" i="1"/>
  <c r="AJ176" i="1"/>
  <c r="AI176" i="1"/>
  <c r="AA176" i="1"/>
  <c r="Z176" i="1"/>
  <c r="U176" i="1"/>
  <c r="T176" i="1" s="1"/>
  <c r="AL176" i="1" s="1"/>
  <c r="P176" i="1"/>
  <c r="E176" i="1"/>
  <c r="F176" i="1" s="1"/>
  <c r="AE176" i="1" s="1"/>
  <c r="AO168" i="1"/>
  <c r="AN168" i="1"/>
  <c r="AJ168" i="1"/>
  <c r="AI168" i="1"/>
  <c r="AA168" i="1"/>
  <c r="Z168" i="1"/>
  <c r="U168" i="1"/>
  <c r="T168" i="1" s="1"/>
  <c r="AK168" i="1" s="1"/>
  <c r="Q168" i="1"/>
  <c r="P168" i="1"/>
  <c r="E168" i="1"/>
  <c r="F168" i="1" s="1"/>
  <c r="AE168" i="1" s="1"/>
  <c r="AO166" i="1"/>
  <c r="AN166" i="1"/>
  <c r="AJ166" i="1"/>
  <c r="AI166" i="1"/>
  <c r="AA166" i="1"/>
  <c r="U166" i="1"/>
  <c r="T166" i="1" s="1"/>
  <c r="AP166" i="1" s="1"/>
  <c r="P166" i="1"/>
  <c r="E166" i="1"/>
  <c r="F166" i="1" s="1"/>
  <c r="AE166" i="1" s="1"/>
  <c r="AO171" i="1"/>
  <c r="AN171" i="1"/>
  <c r="AJ171" i="1"/>
  <c r="AI171" i="1"/>
  <c r="AA171" i="1"/>
  <c r="Z171" i="1"/>
  <c r="U171" i="1"/>
  <c r="T171" i="1" s="1"/>
  <c r="AP171" i="1" s="1"/>
  <c r="Q171" i="1"/>
  <c r="P171" i="1"/>
  <c r="E171" i="1"/>
  <c r="F171" i="1" s="1"/>
  <c r="AE171" i="1" s="1"/>
  <c r="AP173" i="1"/>
  <c r="AO173" i="1"/>
  <c r="AN173" i="1"/>
  <c r="AK173" i="1"/>
  <c r="AJ173" i="1"/>
  <c r="AI173" i="1"/>
  <c r="AA173" i="1"/>
  <c r="Z173" i="1"/>
  <c r="U173" i="1"/>
  <c r="T173" i="1" s="1"/>
  <c r="Q173" i="1"/>
  <c r="P173" i="1"/>
  <c r="E173" i="1"/>
  <c r="F173" i="1" s="1"/>
  <c r="AE173" i="1" s="1"/>
  <c r="E183" i="1"/>
  <c r="F183" i="1" s="1"/>
  <c r="AE183" i="1" s="1"/>
  <c r="P183" i="1"/>
  <c r="Q183" i="1" s="1"/>
  <c r="U183" i="1"/>
  <c r="T183" i="1" s="1"/>
  <c r="AK183" i="1" s="1"/>
  <c r="AA183" i="1"/>
  <c r="AI183" i="1"/>
  <c r="AJ183" i="1"/>
  <c r="AL183" i="1"/>
  <c r="AN183" i="1"/>
  <c r="AO183" i="1"/>
  <c r="AQ183" i="1"/>
  <c r="AP182" i="1"/>
  <c r="AO182" i="1"/>
  <c r="AN182" i="1"/>
  <c r="AK182" i="1"/>
  <c r="AJ182" i="1"/>
  <c r="AI182" i="1"/>
  <c r="AA182" i="1"/>
  <c r="Z182" i="1"/>
  <c r="U182" i="1"/>
  <c r="T182" i="1" s="1"/>
  <c r="AQ182" i="1" s="1"/>
  <c r="Q182" i="1"/>
  <c r="P182" i="1"/>
  <c r="E182" i="1"/>
  <c r="F182" i="1" s="1"/>
  <c r="AE182" i="1" s="1"/>
  <c r="AF279" i="1" l="1"/>
  <c r="AF317" i="1" s="1"/>
  <c r="M317" i="1" s="1"/>
  <c r="AG317" i="1"/>
  <c r="AH317" i="1" s="1"/>
  <c r="Q176" i="1"/>
  <c r="X176" i="1" s="1"/>
  <c r="X140" i="1"/>
  <c r="Q166" i="1"/>
  <c r="Z166" i="1" s="1"/>
  <c r="AQ176" i="1"/>
  <c r="AK166" i="1"/>
  <c r="X168" i="1"/>
  <c r="X135" i="1"/>
  <c r="Z135" i="1"/>
  <c r="X182" i="1"/>
  <c r="AP168" i="1"/>
  <c r="X173" i="1"/>
  <c r="X171" i="1"/>
  <c r="AK171" i="1"/>
  <c r="AL182" i="1"/>
  <c r="AP176" i="1"/>
  <c r="AK176" i="1"/>
  <c r="AC176" i="1"/>
  <c r="AG176" i="1" s="1"/>
  <c r="AF176" i="1" s="1"/>
  <c r="AQ168" i="1"/>
  <c r="AL168" i="1"/>
  <c r="AC168" i="1"/>
  <c r="AG168" i="1" s="1"/>
  <c r="AF168" i="1" s="1"/>
  <c r="AQ166" i="1"/>
  <c r="AL166" i="1"/>
  <c r="AC166" i="1"/>
  <c r="AG166" i="1" s="1"/>
  <c r="AF166" i="1" s="1"/>
  <c r="AQ171" i="1"/>
  <c r="AL171" i="1"/>
  <c r="AC171" i="1"/>
  <c r="AG171" i="1" s="1"/>
  <c r="AF171" i="1" s="1"/>
  <c r="AQ173" i="1"/>
  <c r="AL173" i="1"/>
  <c r="AC173" i="1"/>
  <c r="AG173" i="1" s="1"/>
  <c r="AF173" i="1" s="1"/>
  <c r="AC182" i="1"/>
  <c r="AG182" i="1" s="1"/>
  <c r="AF182" i="1" s="1"/>
  <c r="Z183" i="1"/>
  <c r="X183" i="1"/>
  <c r="AC183" i="1"/>
  <c r="AG183" i="1" s="1"/>
  <c r="AF183" i="1" s="1"/>
  <c r="AP183" i="1"/>
  <c r="AQ123" i="1"/>
  <c r="AP123" i="1"/>
  <c r="AN123" i="1"/>
  <c r="AL123" i="1"/>
  <c r="AK123" i="1"/>
  <c r="AI123" i="1"/>
  <c r="AA123" i="1"/>
  <c r="Z123" i="1"/>
  <c r="U123" i="1"/>
  <c r="T123" i="1" s="1"/>
  <c r="AO123" i="1" s="1"/>
  <c r="P123" i="1"/>
  <c r="E123" i="1"/>
  <c r="F123" i="1" s="1"/>
  <c r="AE123" i="1" s="1"/>
  <c r="X166" i="1" l="1"/>
  <c r="AJ123" i="1"/>
  <c r="AC123" i="1"/>
  <c r="AG123" i="1" s="1"/>
  <c r="AF123" i="1" s="1"/>
  <c r="Q123" i="1"/>
  <c r="X123" i="1" s="1"/>
  <c r="AQ129" i="1"/>
  <c r="AO129" i="1"/>
  <c r="AN129" i="1"/>
  <c r="AL129" i="1"/>
  <c r="AJ129" i="1"/>
  <c r="AI129" i="1"/>
  <c r="AA129" i="1"/>
  <c r="U129" i="1"/>
  <c r="T129" i="1" s="1"/>
  <c r="AP129" i="1" s="1"/>
  <c r="P129" i="1"/>
  <c r="E129" i="1"/>
  <c r="F129" i="1" s="1"/>
  <c r="AE129" i="1" s="1"/>
  <c r="AP101" i="1"/>
  <c r="AO101" i="1"/>
  <c r="AN101" i="1"/>
  <c r="AK101" i="1"/>
  <c r="AJ101" i="1"/>
  <c r="AI101" i="1"/>
  <c r="AA101" i="1"/>
  <c r="U101" i="1"/>
  <c r="T101" i="1" s="1"/>
  <c r="P101" i="1"/>
  <c r="E101" i="1"/>
  <c r="F101" i="1" s="1"/>
  <c r="AE101" i="1" s="1"/>
  <c r="AK129" i="1" l="1"/>
  <c r="Q129" i="1"/>
  <c r="AC129" i="1"/>
  <c r="AG129" i="1" s="1"/>
  <c r="AF129" i="1" s="1"/>
  <c r="AL101" i="1"/>
  <c r="AQ101" i="1"/>
  <c r="Q101" i="1"/>
  <c r="AC101" i="1"/>
  <c r="AG101" i="1" s="1"/>
  <c r="AF101" i="1" s="1"/>
  <c r="AQ125" i="1"/>
  <c r="AO125" i="1"/>
  <c r="AN125" i="1"/>
  <c r="AL125" i="1"/>
  <c r="AJ125" i="1"/>
  <c r="AI125" i="1"/>
  <c r="AA125" i="1"/>
  <c r="Z125" i="1"/>
  <c r="U125" i="1"/>
  <c r="T125" i="1" s="1"/>
  <c r="P125" i="1"/>
  <c r="E125" i="1"/>
  <c r="F125" i="1" s="1"/>
  <c r="AE125" i="1" s="1"/>
  <c r="AQ124" i="1"/>
  <c r="AO124" i="1"/>
  <c r="AN124" i="1"/>
  <c r="AL124" i="1"/>
  <c r="AJ124" i="1"/>
  <c r="AI124" i="1"/>
  <c r="AA124" i="1"/>
  <c r="U124" i="1"/>
  <c r="T124" i="1" s="1"/>
  <c r="P124" i="1"/>
  <c r="E124" i="1"/>
  <c r="F124" i="1" s="1"/>
  <c r="AE124" i="1" s="1"/>
  <c r="AQ128" i="1"/>
  <c r="AO128" i="1"/>
  <c r="AN128" i="1"/>
  <c r="AL128" i="1"/>
  <c r="AJ128" i="1"/>
  <c r="AI128" i="1"/>
  <c r="AA128" i="1"/>
  <c r="U128" i="1"/>
  <c r="T128" i="1" s="1"/>
  <c r="P128" i="1"/>
  <c r="E128" i="1"/>
  <c r="F128" i="1" s="1"/>
  <c r="AE128" i="1" s="1"/>
  <c r="AC125" i="1" l="1"/>
  <c r="AG125" i="1" s="1"/>
  <c r="AF125" i="1" s="1"/>
  <c r="AK125" i="1"/>
  <c r="AP125" i="1"/>
  <c r="Q124" i="1"/>
  <c r="X129" i="1"/>
  <c r="Z129" i="1"/>
  <c r="X101" i="1"/>
  <c r="Z101" i="1"/>
  <c r="AP124" i="1"/>
  <c r="AK124" i="1"/>
  <c r="Q128" i="1"/>
  <c r="X128" i="1" s="1"/>
  <c r="AK128" i="1"/>
  <c r="AP128" i="1"/>
  <c r="Q125" i="1"/>
  <c r="X125" i="1" s="1"/>
  <c r="AC124" i="1"/>
  <c r="AG124" i="1" s="1"/>
  <c r="AF124" i="1" s="1"/>
  <c r="AC128" i="1"/>
  <c r="AG128" i="1" s="1"/>
  <c r="AF128" i="1" s="1"/>
  <c r="Z128" i="1" l="1"/>
  <c r="X124" i="1"/>
  <c r="Z124" i="1"/>
  <c r="AQ161" i="1" l="1"/>
  <c r="AP161" i="1"/>
  <c r="AN161" i="1"/>
  <c r="AL161" i="1"/>
  <c r="AK161" i="1"/>
  <c r="AI161" i="1"/>
  <c r="AA161" i="1"/>
  <c r="Z161" i="1"/>
  <c r="U161" i="1"/>
  <c r="T161" i="1" s="1"/>
  <c r="AO161" i="1" s="1"/>
  <c r="Q161" i="1"/>
  <c r="P161" i="1"/>
  <c r="E161" i="1"/>
  <c r="F161" i="1" s="1"/>
  <c r="AE161" i="1" s="1"/>
  <c r="AJ161" i="1" l="1"/>
  <c r="AC161" i="1"/>
  <c r="AG161" i="1" s="1"/>
  <c r="AF161" i="1" s="1"/>
  <c r="X161" i="1"/>
  <c r="AQ103" i="1" l="1"/>
  <c r="AP103" i="1"/>
  <c r="AO103" i="1"/>
  <c r="AN103" i="1"/>
  <c r="AL103" i="1"/>
  <c r="AK103" i="1"/>
  <c r="AJ103" i="1"/>
  <c r="AI103" i="1"/>
  <c r="AA103" i="1"/>
  <c r="Z103" i="1"/>
  <c r="U103" i="1"/>
  <c r="T103" i="1" s="1"/>
  <c r="Q103" i="1"/>
  <c r="P103" i="1"/>
  <c r="E103" i="1"/>
  <c r="F103" i="1" s="1"/>
  <c r="AE103" i="1" s="1"/>
  <c r="AC103" i="1" l="1"/>
  <c r="AG103" i="1" s="1"/>
  <c r="AF103" i="1" s="1"/>
  <c r="X103" i="1"/>
  <c r="AQ157" i="1"/>
  <c r="AP157" i="1"/>
  <c r="AN157" i="1"/>
  <c r="AL157" i="1"/>
  <c r="AK157" i="1"/>
  <c r="AI157" i="1"/>
  <c r="AQ152" i="1"/>
  <c r="AP152" i="1"/>
  <c r="AN152" i="1"/>
  <c r="AL152" i="1"/>
  <c r="AK152" i="1"/>
  <c r="AI152" i="1"/>
  <c r="AQ148" i="1"/>
  <c r="AP148" i="1"/>
  <c r="AL148" i="1"/>
  <c r="AK148" i="1"/>
  <c r="AQ150" i="1"/>
  <c r="AP150" i="1"/>
  <c r="AO150" i="1"/>
  <c r="AL150" i="1"/>
  <c r="AK150" i="1"/>
  <c r="AJ150" i="1"/>
  <c r="AQ145" i="1"/>
  <c r="AP145" i="1"/>
  <c r="AO145" i="1"/>
  <c r="AN145" i="1"/>
  <c r="AL145" i="1"/>
  <c r="AK145" i="1"/>
  <c r="AJ145" i="1"/>
  <c r="AI145" i="1"/>
  <c r="AQ144" i="1"/>
  <c r="AP144" i="1"/>
  <c r="AO144" i="1"/>
  <c r="AL144" i="1"/>
  <c r="AK144" i="1"/>
  <c r="AJ144" i="1"/>
  <c r="AQ137" i="1"/>
  <c r="AP137" i="1"/>
  <c r="AO137" i="1"/>
  <c r="AN137" i="1"/>
  <c r="AL137" i="1"/>
  <c r="AK137" i="1"/>
  <c r="AJ137" i="1"/>
  <c r="AI137" i="1"/>
  <c r="AQ132" i="1"/>
  <c r="AP132" i="1"/>
  <c r="AO132" i="1"/>
  <c r="AN132" i="1"/>
  <c r="AL132" i="1"/>
  <c r="AK132" i="1"/>
  <c r="AJ132" i="1"/>
  <c r="AI132" i="1"/>
  <c r="AQ126" i="1"/>
  <c r="AP126" i="1"/>
  <c r="AO126" i="1"/>
  <c r="AN126" i="1"/>
  <c r="AL126" i="1"/>
  <c r="AK126" i="1"/>
  <c r="AJ126" i="1"/>
  <c r="AI126" i="1"/>
  <c r="AQ122" i="1"/>
  <c r="AN122" i="1"/>
  <c r="AL122" i="1"/>
  <c r="AI122" i="1"/>
  <c r="AQ121" i="1"/>
  <c r="AP121" i="1"/>
  <c r="AO121" i="1"/>
  <c r="AN121" i="1"/>
  <c r="AL121" i="1"/>
  <c r="AK121" i="1"/>
  <c r="AJ121" i="1"/>
  <c r="AI121" i="1"/>
  <c r="AQ120" i="1"/>
  <c r="AP120" i="1"/>
  <c r="AN120" i="1"/>
  <c r="AL120" i="1"/>
  <c r="AK120" i="1"/>
  <c r="AI120" i="1"/>
  <c r="AQ119" i="1"/>
  <c r="AP119" i="1"/>
  <c r="AN119" i="1"/>
  <c r="AL119" i="1"/>
  <c r="AK119" i="1"/>
  <c r="AI119" i="1"/>
  <c r="AQ118" i="1"/>
  <c r="AP118" i="1"/>
  <c r="AN118" i="1"/>
  <c r="AL118" i="1"/>
  <c r="AK118" i="1"/>
  <c r="AI118" i="1"/>
  <c r="AQ117" i="1"/>
  <c r="AP117" i="1"/>
  <c r="AO117" i="1"/>
  <c r="AN117" i="1"/>
  <c r="AL117" i="1"/>
  <c r="AK117" i="1"/>
  <c r="AJ117" i="1"/>
  <c r="AI117" i="1"/>
  <c r="AQ116" i="1"/>
  <c r="AP116" i="1"/>
  <c r="AL116" i="1"/>
  <c r="AK116" i="1"/>
  <c r="AQ115" i="1"/>
  <c r="AP115" i="1"/>
  <c r="AO115" i="1"/>
  <c r="AN115" i="1"/>
  <c r="AL115" i="1"/>
  <c r="AK115" i="1"/>
  <c r="AJ115" i="1"/>
  <c r="AI115" i="1"/>
  <c r="AQ114" i="1"/>
  <c r="AP114" i="1"/>
  <c r="AO114" i="1"/>
  <c r="AN114" i="1"/>
  <c r="AL114" i="1"/>
  <c r="AK114" i="1"/>
  <c r="AJ114" i="1"/>
  <c r="AI114" i="1"/>
  <c r="AQ113" i="1"/>
  <c r="AP113" i="1"/>
  <c r="AO113" i="1"/>
  <c r="AL113" i="1"/>
  <c r="AK113" i="1"/>
  <c r="AJ113" i="1"/>
  <c r="AQ112" i="1"/>
  <c r="AP112" i="1"/>
  <c r="AO112" i="1"/>
  <c r="AL112" i="1"/>
  <c r="AK112" i="1"/>
  <c r="AJ112" i="1"/>
  <c r="AQ111" i="1"/>
  <c r="AP111" i="1"/>
  <c r="AO111" i="1"/>
  <c r="AN111" i="1"/>
  <c r="AL111" i="1"/>
  <c r="AK111" i="1"/>
  <c r="AJ111" i="1"/>
  <c r="AI111" i="1"/>
  <c r="AQ110" i="1"/>
  <c r="AP110" i="1"/>
  <c r="AO110" i="1"/>
  <c r="AN110" i="1"/>
  <c r="AL110" i="1"/>
  <c r="AK110" i="1"/>
  <c r="AJ110" i="1"/>
  <c r="AI110" i="1"/>
  <c r="AQ418" i="1" l="1"/>
  <c r="AP418" i="1"/>
  <c r="AO418" i="1"/>
  <c r="AN418" i="1"/>
  <c r="AL418" i="1"/>
  <c r="AK418" i="1"/>
  <c r="AJ418" i="1"/>
  <c r="AI418" i="1"/>
  <c r="AA118" i="1" l="1"/>
  <c r="U118" i="1"/>
  <c r="T118" i="1" s="1"/>
  <c r="P118" i="1"/>
  <c r="E118" i="1"/>
  <c r="F118" i="1" s="1"/>
  <c r="AE118" i="1" s="1"/>
  <c r="AQ93" i="1"/>
  <c r="AP93" i="1"/>
  <c r="AO93" i="1"/>
  <c r="AN93" i="1"/>
  <c r="AL93" i="1"/>
  <c r="AK93" i="1"/>
  <c r="AJ93" i="1"/>
  <c r="AI93" i="1"/>
  <c r="AA93" i="1"/>
  <c r="Z93" i="1"/>
  <c r="U93" i="1"/>
  <c r="T93" i="1" s="1"/>
  <c r="Q93" i="1"/>
  <c r="P93" i="1"/>
  <c r="E93" i="1"/>
  <c r="F93" i="1" s="1"/>
  <c r="AE93" i="1" s="1"/>
  <c r="AO118" i="1" l="1"/>
  <c r="AJ118" i="1"/>
  <c r="Q118" i="1"/>
  <c r="AC118" i="1"/>
  <c r="AG118" i="1" s="1"/>
  <c r="AF118" i="1" s="1"/>
  <c r="X93" i="1"/>
  <c r="AC93" i="1"/>
  <c r="AG93" i="1" s="1"/>
  <c r="AF93" i="1" s="1"/>
  <c r="U95" i="1"/>
  <c r="T95" i="1" s="1"/>
  <c r="AQ99" i="1"/>
  <c r="AP99" i="1"/>
  <c r="AO99" i="1"/>
  <c r="AN99" i="1"/>
  <c r="AL99" i="1"/>
  <c r="AK99" i="1"/>
  <c r="AJ99" i="1"/>
  <c r="AI99" i="1"/>
  <c r="AA99" i="1"/>
  <c r="Z99" i="1"/>
  <c r="U99" i="1"/>
  <c r="T99" i="1" s="1"/>
  <c r="Q99" i="1"/>
  <c r="P99" i="1"/>
  <c r="E99" i="1"/>
  <c r="F99" i="1" s="1"/>
  <c r="AE99" i="1" s="1"/>
  <c r="X118" i="1" l="1"/>
  <c r="Z118" i="1"/>
  <c r="X99" i="1"/>
  <c r="AC99" i="1"/>
  <c r="AG99" i="1" s="1"/>
  <c r="AF99" i="1" s="1"/>
  <c r="AA148" i="1"/>
  <c r="U148" i="1"/>
  <c r="T148" i="1" s="1"/>
  <c r="E148" i="1"/>
  <c r="F148" i="1" s="1"/>
  <c r="AE148" i="1" s="1"/>
  <c r="AN148" i="1" l="1"/>
  <c r="AI148" i="1"/>
  <c r="AC148" i="1"/>
  <c r="AG148" i="1" s="1"/>
  <c r="AF148" i="1" s="1"/>
  <c r="AJ148" i="1"/>
  <c r="AO148" i="1"/>
  <c r="Q148" i="1"/>
  <c r="X148" i="1" l="1"/>
  <c r="Z148" i="1"/>
  <c r="AA119" i="1"/>
  <c r="U119" i="1"/>
  <c r="T119" i="1" s="1"/>
  <c r="P119" i="1"/>
  <c r="E119" i="1"/>
  <c r="F119" i="1" s="1"/>
  <c r="AE119" i="1" s="1"/>
  <c r="E137" i="1"/>
  <c r="F137" i="1" s="1"/>
  <c r="E132" i="1"/>
  <c r="F132" i="1" s="1"/>
  <c r="AO119" i="1" l="1"/>
  <c r="AJ119" i="1"/>
  <c r="Q119" i="1"/>
  <c r="AC119" i="1"/>
  <c r="AG119" i="1" s="1"/>
  <c r="AF119" i="1" s="1"/>
  <c r="E121" i="1"/>
  <c r="F121" i="1" s="1"/>
  <c r="P152" i="1"/>
  <c r="X119" i="1" l="1"/>
  <c r="Z119" i="1"/>
  <c r="AQ104" i="1"/>
  <c r="AP104" i="1"/>
  <c r="AO104" i="1"/>
  <c r="AN104" i="1"/>
  <c r="AL104" i="1"/>
  <c r="AK104" i="1"/>
  <c r="AJ104" i="1"/>
  <c r="AI104" i="1"/>
  <c r="AA104" i="1"/>
  <c r="Z104" i="1"/>
  <c r="U104" i="1"/>
  <c r="T104" i="1" s="1"/>
  <c r="P104" i="1"/>
  <c r="E104" i="1"/>
  <c r="F104" i="1" s="1"/>
  <c r="AE104" i="1" s="1"/>
  <c r="O112" i="1"/>
  <c r="AQ105" i="1"/>
  <c r="AP105" i="1"/>
  <c r="AO105" i="1"/>
  <c r="AN105" i="1"/>
  <c r="AL105" i="1"/>
  <c r="AK105" i="1"/>
  <c r="AJ105" i="1"/>
  <c r="AI105" i="1"/>
  <c r="AA105" i="1"/>
  <c r="U105" i="1"/>
  <c r="T105" i="1" s="1"/>
  <c r="P105" i="1"/>
  <c r="E105" i="1"/>
  <c r="F105" i="1" s="1"/>
  <c r="AE105" i="1" s="1"/>
  <c r="Z95" i="1"/>
  <c r="AI95" i="1"/>
  <c r="AJ95" i="1"/>
  <c r="AK95" i="1"/>
  <c r="AL95" i="1"/>
  <c r="AN95" i="1"/>
  <c r="AO95" i="1"/>
  <c r="AP95" i="1"/>
  <c r="AQ95" i="1"/>
  <c r="E95" i="1"/>
  <c r="F95" i="1" s="1"/>
  <c r="AE95" i="1" s="1"/>
  <c r="AA95" i="1"/>
  <c r="AQ97" i="1"/>
  <c r="AP97" i="1"/>
  <c r="AO97" i="1"/>
  <c r="AN97" i="1"/>
  <c r="AL97" i="1"/>
  <c r="AK97" i="1"/>
  <c r="AJ97" i="1"/>
  <c r="AI97" i="1"/>
  <c r="AA97" i="1"/>
  <c r="U97" i="1"/>
  <c r="T97" i="1" s="1"/>
  <c r="P97" i="1"/>
  <c r="E97" i="1"/>
  <c r="F97" i="1" s="1"/>
  <c r="AE97" i="1" s="1"/>
  <c r="E145" i="1"/>
  <c r="F145" i="1" s="1"/>
  <c r="AE145" i="1" s="1"/>
  <c r="AA157" i="1"/>
  <c r="Z157" i="1"/>
  <c r="U157" i="1"/>
  <c r="T157" i="1" s="1"/>
  <c r="Q157" i="1"/>
  <c r="P157" i="1"/>
  <c r="E157" i="1"/>
  <c r="F157" i="1" s="1"/>
  <c r="AE157" i="1" s="1"/>
  <c r="AA152" i="1"/>
  <c r="U152" i="1"/>
  <c r="T152" i="1" s="1"/>
  <c r="E152" i="1"/>
  <c r="F152" i="1" s="1"/>
  <c r="AE152" i="1" s="1"/>
  <c r="AA150" i="1"/>
  <c r="Z150" i="1"/>
  <c r="U150" i="1"/>
  <c r="T150" i="1" s="1"/>
  <c r="Q150" i="1"/>
  <c r="P150" i="1"/>
  <c r="E150" i="1"/>
  <c r="F150" i="1" s="1"/>
  <c r="AE150" i="1" s="1"/>
  <c r="AA145" i="1"/>
  <c r="Z145" i="1"/>
  <c r="U145" i="1"/>
  <c r="Q145" i="1" s="1"/>
  <c r="P145" i="1"/>
  <c r="AA144" i="1"/>
  <c r="Z144" i="1"/>
  <c r="U144" i="1"/>
  <c r="T144" i="1" s="1"/>
  <c r="Q144" i="1"/>
  <c r="P144" i="1"/>
  <c r="E144" i="1"/>
  <c r="AA112" i="1"/>
  <c r="U112" i="1"/>
  <c r="E112" i="1"/>
  <c r="F112" i="1" s="1"/>
  <c r="AE112" i="1" s="1"/>
  <c r="D184" i="1" l="1"/>
  <c r="E233" i="1" s="1"/>
  <c r="H273" i="1" s="1"/>
  <c r="J273" i="1" s="1"/>
  <c r="F144" i="1"/>
  <c r="AE144" i="1" s="1"/>
  <c r="AE184" i="1" s="1"/>
  <c r="AC157" i="1"/>
  <c r="AG157" i="1" s="1"/>
  <c r="AF157" i="1" s="1"/>
  <c r="AO157" i="1"/>
  <c r="AJ157" i="1"/>
  <c r="T112" i="1"/>
  <c r="AN112" i="1" s="1"/>
  <c r="AN150" i="1"/>
  <c r="AI150" i="1"/>
  <c r="AO152" i="1"/>
  <c r="AJ152" i="1"/>
  <c r="AN144" i="1"/>
  <c r="AI144" i="1"/>
  <c r="Q104" i="1"/>
  <c r="X104" i="1" s="1"/>
  <c r="Q152" i="1"/>
  <c r="AC104" i="1"/>
  <c r="AG104" i="1" s="1"/>
  <c r="AF104" i="1" s="1"/>
  <c r="P112" i="1"/>
  <c r="X150" i="1"/>
  <c r="Q105" i="1"/>
  <c r="AC105" i="1"/>
  <c r="AG105" i="1" s="1"/>
  <c r="AF105" i="1" s="1"/>
  <c r="AC152" i="1"/>
  <c r="AG152" i="1" s="1"/>
  <c r="AF152" i="1" s="1"/>
  <c r="X144" i="1"/>
  <c r="X157" i="1"/>
  <c r="AC95" i="1"/>
  <c r="AG95" i="1" s="1"/>
  <c r="Q95" i="1"/>
  <c r="X95" i="1" s="1"/>
  <c r="Q97" i="1"/>
  <c r="AC97" i="1"/>
  <c r="AG97" i="1" s="1"/>
  <c r="AF97" i="1" s="1"/>
  <c r="X145" i="1"/>
  <c r="AC150" i="1"/>
  <c r="AG150" i="1" s="1"/>
  <c r="AF150" i="1" s="1"/>
  <c r="AL184" i="1"/>
  <c r="AL185" i="1" s="1"/>
  <c r="AK184" i="1"/>
  <c r="AK185" i="1" s="1"/>
  <c r="AP184" i="1"/>
  <c r="AP185" i="1" s="1"/>
  <c r="AC145" i="1"/>
  <c r="AG145" i="1" s="1"/>
  <c r="AF145" i="1" s="1"/>
  <c r="H184" i="1"/>
  <c r="J184" i="1" s="1"/>
  <c r="AQ184" i="1"/>
  <c r="AQ185" i="1" s="1"/>
  <c r="AA184" i="1"/>
  <c r="AB184" i="1" s="1"/>
  <c r="AC144" i="1"/>
  <c r="AQ87" i="1"/>
  <c r="AP87" i="1"/>
  <c r="AO87" i="1"/>
  <c r="AN87" i="1"/>
  <c r="AL87" i="1"/>
  <c r="AK87" i="1"/>
  <c r="AJ87" i="1"/>
  <c r="AI87" i="1"/>
  <c r="AA87" i="1"/>
  <c r="U87" i="1"/>
  <c r="T87" i="1" s="1"/>
  <c r="P87" i="1"/>
  <c r="E87" i="1"/>
  <c r="F87" i="1" s="1"/>
  <c r="AE87" i="1" s="1"/>
  <c r="F233" i="1" l="1"/>
  <c r="AE233" i="1" s="1"/>
  <c r="D273" i="1"/>
  <c r="AG144" i="1"/>
  <c r="AG184" i="1" s="1"/>
  <c r="AH184" i="1" s="1"/>
  <c r="AO184" i="1"/>
  <c r="AO185" i="1" s="1"/>
  <c r="AJ184" i="1"/>
  <c r="AJ185" i="1" s="1"/>
  <c r="AI112" i="1"/>
  <c r="Q112" i="1"/>
  <c r="X112" i="1" s="1"/>
  <c r="AC112" i="1"/>
  <c r="AG112" i="1" s="1"/>
  <c r="AF112" i="1" s="1"/>
  <c r="AI184" i="1"/>
  <c r="AI185" i="1" s="1"/>
  <c r="AN184" i="1"/>
  <c r="AN185" i="1" s="1"/>
  <c r="X152" i="1"/>
  <c r="Z152" i="1"/>
  <c r="Z184" i="1" s="1"/>
  <c r="Q184" i="1" s="1"/>
  <c r="X105" i="1"/>
  <c r="Z105" i="1"/>
  <c r="X97" i="1"/>
  <c r="Z97" i="1"/>
  <c r="Q87" i="1"/>
  <c r="AC87" i="1"/>
  <c r="AG87" i="1" s="1"/>
  <c r="AF87" i="1" s="1"/>
  <c r="AQ83" i="1"/>
  <c r="AP83" i="1"/>
  <c r="AO83" i="1"/>
  <c r="AN83" i="1"/>
  <c r="AL83" i="1"/>
  <c r="AK83" i="1"/>
  <c r="AJ83" i="1"/>
  <c r="AI83" i="1"/>
  <c r="AA83" i="1"/>
  <c r="Z83" i="1"/>
  <c r="U83" i="1"/>
  <c r="T83" i="1" s="1"/>
  <c r="Q83" i="1" s="1"/>
  <c r="P83" i="1"/>
  <c r="E83" i="1"/>
  <c r="F83" i="1" s="1"/>
  <c r="AE83" i="1" s="1"/>
  <c r="AQ107" i="1"/>
  <c r="AP107" i="1"/>
  <c r="AO107" i="1"/>
  <c r="AN107" i="1"/>
  <c r="AL107" i="1"/>
  <c r="AK107" i="1"/>
  <c r="AJ107" i="1"/>
  <c r="AI107" i="1"/>
  <c r="AQ106" i="1"/>
  <c r="AP106" i="1"/>
  <c r="AO106" i="1"/>
  <c r="AN106" i="1"/>
  <c r="AL106" i="1"/>
  <c r="AK106" i="1"/>
  <c r="AJ106" i="1"/>
  <c r="AI106" i="1"/>
  <c r="AQ102" i="1"/>
  <c r="AP102" i="1"/>
  <c r="AO102" i="1"/>
  <c r="AN102" i="1"/>
  <c r="AL102" i="1"/>
  <c r="AK102" i="1"/>
  <c r="AJ102" i="1"/>
  <c r="AI102" i="1"/>
  <c r="AQ100" i="1"/>
  <c r="AP100" i="1"/>
  <c r="AO100" i="1"/>
  <c r="AN100" i="1"/>
  <c r="AL100" i="1"/>
  <c r="AK100" i="1"/>
  <c r="AJ100" i="1"/>
  <c r="AI100" i="1"/>
  <c r="AQ98" i="1"/>
  <c r="AP98" i="1"/>
  <c r="AO98" i="1"/>
  <c r="AN98" i="1"/>
  <c r="AL98" i="1"/>
  <c r="AK98" i="1"/>
  <c r="AJ98" i="1"/>
  <c r="AI98" i="1"/>
  <c r="AQ96" i="1"/>
  <c r="AP96" i="1"/>
  <c r="AO96" i="1"/>
  <c r="AN96" i="1"/>
  <c r="AL96" i="1"/>
  <c r="AK96" i="1"/>
  <c r="AJ96" i="1"/>
  <c r="AI96" i="1"/>
  <c r="AQ92" i="1"/>
  <c r="AP92" i="1"/>
  <c r="AO92" i="1"/>
  <c r="AN92" i="1"/>
  <c r="AL92" i="1"/>
  <c r="AK92" i="1"/>
  <c r="AJ92" i="1"/>
  <c r="AI92" i="1"/>
  <c r="AQ91" i="1"/>
  <c r="AP91" i="1"/>
  <c r="AO91" i="1"/>
  <c r="AN91" i="1"/>
  <c r="AL91" i="1"/>
  <c r="AK91" i="1"/>
  <c r="AJ91" i="1"/>
  <c r="AI91" i="1"/>
  <c r="AQ90" i="1"/>
  <c r="AO90" i="1"/>
  <c r="AN90" i="1"/>
  <c r="AL90" i="1"/>
  <c r="AJ90" i="1"/>
  <c r="AI90" i="1"/>
  <c r="AQ89" i="1"/>
  <c r="AP89" i="1"/>
  <c r="AO89" i="1"/>
  <c r="AN89" i="1"/>
  <c r="AL89" i="1"/>
  <c r="AK89" i="1"/>
  <c r="AJ89" i="1"/>
  <c r="AI89" i="1"/>
  <c r="AQ88" i="1"/>
  <c r="AP88" i="1"/>
  <c r="AO88" i="1"/>
  <c r="AN88" i="1"/>
  <c r="AL88" i="1"/>
  <c r="AK88" i="1"/>
  <c r="AJ88" i="1"/>
  <c r="AI88" i="1"/>
  <c r="AQ86" i="1"/>
  <c r="AP86" i="1"/>
  <c r="AO86" i="1"/>
  <c r="AN86" i="1"/>
  <c r="AL86" i="1"/>
  <c r="AK86" i="1"/>
  <c r="AJ86" i="1"/>
  <c r="AI86" i="1"/>
  <c r="AQ85" i="1"/>
  <c r="AP85" i="1"/>
  <c r="AO85" i="1"/>
  <c r="AN85" i="1"/>
  <c r="AL85" i="1"/>
  <c r="AK85" i="1"/>
  <c r="AJ85" i="1"/>
  <c r="AI85" i="1"/>
  <c r="AQ84" i="1"/>
  <c r="AP84" i="1"/>
  <c r="AN84" i="1"/>
  <c r="AL84" i="1"/>
  <c r="AK84" i="1"/>
  <c r="AI84" i="1"/>
  <c r="AQ82" i="1"/>
  <c r="AP82" i="1"/>
  <c r="AO82" i="1"/>
  <c r="AN82" i="1"/>
  <c r="AL82" i="1"/>
  <c r="AK82" i="1"/>
  <c r="AJ82" i="1"/>
  <c r="AI82" i="1"/>
  <c r="AQ81" i="1"/>
  <c r="AP81" i="1"/>
  <c r="AO81" i="1"/>
  <c r="AN81" i="1"/>
  <c r="AL81" i="1"/>
  <c r="AK81" i="1"/>
  <c r="AJ81" i="1"/>
  <c r="AI81" i="1"/>
  <c r="AQ80" i="1"/>
  <c r="AP80" i="1"/>
  <c r="AO80" i="1"/>
  <c r="AN80" i="1"/>
  <c r="AL80" i="1"/>
  <c r="AK80" i="1"/>
  <c r="AJ80" i="1"/>
  <c r="AI80" i="1"/>
  <c r="AQ79" i="1"/>
  <c r="AP79" i="1"/>
  <c r="AO79" i="1"/>
  <c r="AN79" i="1"/>
  <c r="AL79" i="1"/>
  <c r="AK79" i="1"/>
  <c r="AJ79" i="1"/>
  <c r="AI79" i="1"/>
  <c r="AQ78" i="1"/>
  <c r="AP78" i="1"/>
  <c r="AO78" i="1"/>
  <c r="AN78" i="1"/>
  <c r="AL78" i="1"/>
  <c r="AK78" i="1"/>
  <c r="AJ78" i="1"/>
  <c r="AI78" i="1"/>
  <c r="AQ77" i="1"/>
  <c r="AP77" i="1"/>
  <c r="AO77" i="1"/>
  <c r="AN77" i="1"/>
  <c r="AL77" i="1"/>
  <c r="AK77" i="1"/>
  <c r="AJ77" i="1"/>
  <c r="AI77" i="1"/>
  <c r="AQ76" i="1"/>
  <c r="AP76" i="1"/>
  <c r="AO76" i="1"/>
  <c r="AN76" i="1"/>
  <c r="AL76" i="1"/>
  <c r="AK76" i="1"/>
  <c r="AJ76" i="1"/>
  <c r="AI76" i="1"/>
  <c r="AQ75" i="1"/>
  <c r="AP75" i="1"/>
  <c r="AO75" i="1"/>
  <c r="AN75" i="1"/>
  <c r="AL75" i="1"/>
  <c r="AK75" i="1"/>
  <c r="AJ75" i="1"/>
  <c r="AI75" i="1"/>
  <c r="AQ72" i="1"/>
  <c r="AP72" i="1"/>
  <c r="AO72" i="1"/>
  <c r="AN72" i="1"/>
  <c r="AQ71" i="1"/>
  <c r="AP71" i="1"/>
  <c r="AO71" i="1"/>
  <c r="AN71" i="1"/>
  <c r="AQ70" i="1"/>
  <c r="AP70" i="1"/>
  <c r="AO70" i="1"/>
  <c r="AN70" i="1"/>
  <c r="AQ69" i="1"/>
  <c r="AP69" i="1"/>
  <c r="AO69" i="1"/>
  <c r="AN69" i="1"/>
  <c r="AQ68" i="1"/>
  <c r="AP68" i="1"/>
  <c r="AO68" i="1"/>
  <c r="AN68" i="1"/>
  <c r="AQ67" i="1"/>
  <c r="AP67" i="1"/>
  <c r="AO67" i="1"/>
  <c r="AN67" i="1"/>
  <c r="AQ66" i="1"/>
  <c r="AP66" i="1"/>
  <c r="AO66" i="1"/>
  <c r="AN66" i="1"/>
  <c r="AQ65" i="1"/>
  <c r="AP65" i="1"/>
  <c r="AO65" i="1"/>
  <c r="AN65" i="1"/>
  <c r="AQ64" i="1"/>
  <c r="AP64" i="1"/>
  <c r="AO64" i="1"/>
  <c r="AN64" i="1"/>
  <c r="AQ63" i="1"/>
  <c r="AP63" i="1"/>
  <c r="AO63" i="1"/>
  <c r="AN63" i="1"/>
  <c r="AQ62" i="1"/>
  <c r="AP62" i="1"/>
  <c r="AO62" i="1"/>
  <c r="AN62" i="1"/>
  <c r="AQ61" i="1"/>
  <c r="AP61" i="1"/>
  <c r="AO61" i="1"/>
  <c r="AN61" i="1"/>
  <c r="AQ60" i="1"/>
  <c r="AP60" i="1"/>
  <c r="AO60" i="1"/>
  <c r="AN60" i="1"/>
  <c r="AQ59" i="1"/>
  <c r="AP59" i="1"/>
  <c r="AO59" i="1"/>
  <c r="AN59" i="1"/>
  <c r="AQ94" i="1"/>
  <c r="AP94" i="1"/>
  <c r="AO94" i="1"/>
  <c r="AN94" i="1"/>
  <c r="AQ58" i="1"/>
  <c r="AO58" i="1"/>
  <c r="AN58" i="1"/>
  <c r="AQ57" i="1"/>
  <c r="AP57" i="1"/>
  <c r="AO57" i="1"/>
  <c r="AN57" i="1"/>
  <c r="AQ56" i="1"/>
  <c r="AP56" i="1"/>
  <c r="AO56" i="1"/>
  <c r="AN56" i="1"/>
  <c r="AQ55" i="1"/>
  <c r="AP55" i="1"/>
  <c r="AO55" i="1"/>
  <c r="AN55" i="1"/>
  <c r="AQ54" i="1"/>
  <c r="AO54" i="1"/>
  <c r="AN54" i="1"/>
  <c r="AQ53" i="1"/>
  <c r="AP53" i="1"/>
  <c r="AO53" i="1"/>
  <c r="AN53" i="1"/>
  <c r="AQ52" i="1"/>
  <c r="AP52" i="1"/>
  <c r="AO52" i="1"/>
  <c r="AN52" i="1"/>
  <c r="AQ51" i="1"/>
  <c r="AP51" i="1"/>
  <c r="AO51" i="1"/>
  <c r="AN51" i="1"/>
  <c r="AQ50" i="1"/>
  <c r="AP50" i="1"/>
  <c r="AN50" i="1"/>
  <c r="AQ49" i="1"/>
  <c r="AP49" i="1"/>
  <c r="AO49" i="1"/>
  <c r="AN49" i="1"/>
  <c r="AQ48" i="1"/>
  <c r="AP48" i="1"/>
  <c r="AN48" i="1"/>
  <c r="AQ47" i="1"/>
  <c r="AP47" i="1"/>
  <c r="AO47" i="1"/>
  <c r="AN47" i="1"/>
  <c r="AQ46" i="1"/>
  <c r="AP46" i="1"/>
  <c r="AN46" i="1"/>
  <c r="AQ45" i="1"/>
  <c r="AP45" i="1"/>
  <c r="AO45" i="1"/>
  <c r="AN45" i="1"/>
  <c r="AQ44" i="1"/>
  <c r="AP44" i="1"/>
  <c r="AN44" i="1"/>
  <c r="AQ43" i="1"/>
  <c r="AP43" i="1"/>
  <c r="AO43" i="1"/>
  <c r="AN43" i="1"/>
  <c r="AQ42" i="1"/>
  <c r="AP42" i="1"/>
  <c r="AO42" i="1"/>
  <c r="AQ41" i="1"/>
  <c r="AP41" i="1"/>
  <c r="AO41" i="1"/>
  <c r="AN41" i="1"/>
  <c r="AQ40" i="1"/>
  <c r="AP40" i="1"/>
  <c r="AO40" i="1"/>
  <c r="AN40" i="1"/>
  <c r="AQ39" i="1"/>
  <c r="AP39" i="1"/>
  <c r="AO39" i="1"/>
  <c r="AN39" i="1"/>
  <c r="AQ38" i="1"/>
  <c r="AP38" i="1"/>
  <c r="AO38" i="1"/>
  <c r="AN38" i="1"/>
  <c r="AQ37" i="1"/>
  <c r="AP37" i="1"/>
  <c r="AO37" i="1"/>
  <c r="AN37" i="1"/>
  <c r="AQ36" i="1"/>
  <c r="AP36" i="1"/>
  <c r="AO36" i="1"/>
  <c r="AN36" i="1"/>
  <c r="AL41" i="1"/>
  <c r="AK41" i="1"/>
  <c r="AJ41" i="1"/>
  <c r="AI41" i="1"/>
  <c r="AQ17" i="1"/>
  <c r="AP17" i="1"/>
  <c r="AO17" i="1"/>
  <c r="AN17" i="1"/>
  <c r="AQ33" i="1"/>
  <c r="AP33" i="1"/>
  <c r="AO33" i="1"/>
  <c r="AN33" i="1"/>
  <c r="AQ32" i="1"/>
  <c r="AP32" i="1"/>
  <c r="AO32" i="1"/>
  <c r="AN32" i="1"/>
  <c r="AQ31" i="1"/>
  <c r="AP31" i="1"/>
  <c r="AO31" i="1"/>
  <c r="AN31" i="1"/>
  <c r="AQ30" i="1"/>
  <c r="AP30" i="1"/>
  <c r="AO30" i="1"/>
  <c r="AN30" i="1"/>
  <c r="AQ29" i="1"/>
  <c r="AP29" i="1"/>
  <c r="AO29" i="1"/>
  <c r="AN29" i="1"/>
  <c r="AQ28" i="1"/>
  <c r="AP28" i="1"/>
  <c r="AO28" i="1"/>
  <c r="AN28" i="1"/>
  <c r="AQ27" i="1"/>
  <c r="AP27" i="1"/>
  <c r="AO27" i="1"/>
  <c r="AN27" i="1"/>
  <c r="AQ26" i="1"/>
  <c r="AP26" i="1"/>
  <c r="AO26" i="1"/>
  <c r="AN26" i="1"/>
  <c r="AQ25" i="1"/>
  <c r="AP25" i="1"/>
  <c r="AO25" i="1"/>
  <c r="AN25" i="1"/>
  <c r="AQ24" i="1"/>
  <c r="AP24" i="1"/>
  <c r="AO24" i="1"/>
  <c r="AN24" i="1"/>
  <c r="AQ23" i="1"/>
  <c r="AO23" i="1"/>
  <c r="AN23" i="1"/>
  <c r="AQ22" i="1"/>
  <c r="AP22" i="1"/>
  <c r="AO22" i="1"/>
  <c r="AN22" i="1"/>
  <c r="AQ21" i="1"/>
  <c r="AP21" i="1"/>
  <c r="AO21" i="1"/>
  <c r="AN21" i="1"/>
  <c r="AQ20" i="1"/>
  <c r="AP20" i="1"/>
  <c r="AO20" i="1"/>
  <c r="AN20" i="1"/>
  <c r="AQ19" i="1"/>
  <c r="AP19" i="1"/>
  <c r="AO19" i="1"/>
  <c r="AN19" i="1"/>
  <c r="AQ18" i="1"/>
  <c r="AP18" i="1"/>
  <c r="AO18" i="1"/>
  <c r="AN18" i="1"/>
  <c r="AL33" i="1"/>
  <c r="AK33" i="1"/>
  <c r="AJ33" i="1"/>
  <c r="AI33" i="1"/>
  <c r="AL32" i="1"/>
  <c r="AK32" i="1"/>
  <c r="AJ32" i="1"/>
  <c r="AI32" i="1"/>
  <c r="AL31" i="1"/>
  <c r="AK31" i="1"/>
  <c r="AJ31" i="1"/>
  <c r="AI31" i="1"/>
  <c r="AL30" i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72" i="1"/>
  <c r="AK72" i="1"/>
  <c r="AJ72" i="1"/>
  <c r="AI72" i="1"/>
  <c r="AL71" i="1"/>
  <c r="AK71" i="1"/>
  <c r="AJ71" i="1"/>
  <c r="AI71" i="1"/>
  <c r="AL70" i="1"/>
  <c r="AK70" i="1"/>
  <c r="AJ70" i="1"/>
  <c r="AI70" i="1"/>
  <c r="AL69" i="1"/>
  <c r="AK69" i="1"/>
  <c r="AJ69" i="1"/>
  <c r="AI69" i="1"/>
  <c r="AL68" i="1"/>
  <c r="AK68" i="1"/>
  <c r="AJ68" i="1"/>
  <c r="AI68" i="1"/>
  <c r="AL67" i="1"/>
  <c r="AK67" i="1"/>
  <c r="AJ67" i="1"/>
  <c r="AI67" i="1"/>
  <c r="AL66" i="1"/>
  <c r="AK66" i="1"/>
  <c r="AJ66" i="1"/>
  <c r="AI66" i="1"/>
  <c r="AL65" i="1"/>
  <c r="AK65" i="1"/>
  <c r="AJ65" i="1"/>
  <c r="AI65" i="1"/>
  <c r="AL64" i="1"/>
  <c r="AK64" i="1"/>
  <c r="AJ64" i="1"/>
  <c r="AI64" i="1"/>
  <c r="AL63" i="1"/>
  <c r="AK63" i="1"/>
  <c r="AJ63" i="1"/>
  <c r="AI63" i="1"/>
  <c r="AL62" i="1"/>
  <c r="AK62" i="1"/>
  <c r="AJ62" i="1"/>
  <c r="AI62" i="1"/>
  <c r="AL61" i="1"/>
  <c r="AK61" i="1"/>
  <c r="AJ61" i="1"/>
  <c r="AI61" i="1"/>
  <c r="AL60" i="1"/>
  <c r="AK60" i="1"/>
  <c r="AJ60" i="1"/>
  <c r="AI60" i="1"/>
  <c r="AL59" i="1"/>
  <c r="AK59" i="1"/>
  <c r="AJ59" i="1"/>
  <c r="AI59" i="1"/>
  <c r="AL94" i="1"/>
  <c r="AK94" i="1"/>
  <c r="AJ94" i="1"/>
  <c r="AI94" i="1"/>
  <c r="AL58" i="1"/>
  <c r="AJ58" i="1"/>
  <c r="AI58" i="1"/>
  <c r="AL57" i="1"/>
  <c r="AK57" i="1"/>
  <c r="AJ57" i="1"/>
  <c r="AI57" i="1"/>
  <c r="AL56" i="1"/>
  <c r="AK56" i="1"/>
  <c r="AJ56" i="1"/>
  <c r="AI56" i="1"/>
  <c r="AL55" i="1"/>
  <c r="AK55" i="1"/>
  <c r="AJ55" i="1"/>
  <c r="AI55" i="1"/>
  <c r="AL54" i="1"/>
  <c r="AJ54" i="1"/>
  <c r="AI54" i="1"/>
  <c r="AL53" i="1"/>
  <c r="AK53" i="1"/>
  <c r="AJ53" i="1"/>
  <c r="AI53" i="1"/>
  <c r="AL52" i="1"/>
  <c r="AK52" i="1"/>
  <c r="AJ52" i="1"/>
  <c r="AI52" i="1"/>
  <c r="AL51" i="1"/>
  <c r="AK51" i="1"/>
  <c r="AJ51" i="1"/>
  <c r="AI51" i="1"/>
  <c r="AL50" i="1"/>
  <c r="AK50" i="1"/>
  <c r="AI50" i="1"/>
  <c r="AL49" i="1"/>
  <c r="AK49" i="1"/>
  <c r="AJ49" i="1"/>
  <c r="AI49" i="1"/>
  <c r="AL48" i="1"/>
  <c r="AK48" i="1"/>
  <c r="AI48" i="1"/>
  <c r="AL47" i="1"/>
  <c r="AK47" i="1"/>
  <c r="AJ47" i="1"/>
  <c r="AI47" i="1"/>
  <c r="AL46" i="1"/>
  <c r="AK46" i="1"/>
  <c r="AI46" i="1"/>
  <c r="AL45" i="1"/>
  <c r="AK45" i="1"/>
  <c r="AJ45" i="1"/>
  <c r="AI45" i="1"/>
  <c r="AL44" i="1"/>
  <c r="AK44" i="1"/>
  <c r="AI44" i="1"/>
  <c r="AL43" i="1"/>
  <c r="AK43" i="1"/>
  <c r="AJ43" i="1"/>
  <c r="AI43" i="1"/>
  <c r="AL42" i="1"/>
  <c r="AK42" i="1"/>
  <c r="AJ42" i="1"/>
  <c r="AL40" i="1"/>
  <c r="AK40" i="1"/>
  <c r="AJ40" i="1"/>
  <c r="AI40" i="1"/>
  <c r="AL39" i="1"/>
  <c r="AK39" i="1"/>
  <c r="AJ39" i="1"/>
  <c r="AI39" i="1"/>
  <c r="AL38" i="1"/>
  <c r="AK38" i="1"/>
  <c r="AJ38" i="1"/>
  <c r="AI38" i="1"/>
  <c r="AL37" i="1"/>
  <c r="AK37" i="1"/>
  <c r="AJ37" i="1"/>
  <c r="AI37" i="1"/>
  <c r="AL36" i="1"/>
  <c r="AK36" i="1"/>
  <c r="AJ36" i="1"/>
  <c r="AI36" i="1"/>
  <c r="AA77" i="1"/>
  <c r="Z77" i="1"/>
  <c r="U77" i="1"/>
  <c r="T77" i="1" s="1"/>
  <c r="P77" i="1"/>
  <c r="E77" i="1"/>
  <c r="F77" i="1" s="1"/>
  <c r="AE77" i="1" s="1"/>
  <c r="AA86" i="1"/>
  <c r="U86" i="1"/>
  <c r="T86" i="1" s="1"/>
  <c r="P86" i="1"/>
  <c r="E86" i="1"/>
  <c r="F86" i="1" s="1"/>
  <c r="AE86" i="1" s="1"/>
  <c r="E88" i="1"/>
  <c r="F88" i="1" s="1"/>
  <c r="AE88" i="1" s="1"/>
  <c r="P88" i="1"/>
  <c r="Q88" i="1"/>
  <c r="U88" i="1"/>
  <c r="T88" i="1" s="1"/>
  <c r="Z88" i="1"/>
  <c r="AA88" i="1"/>
  <c r="Q91" i="1"/>
  <c r="AG233" i="1" l="1"/>
  <c r="AE273" i="1"/>
  <c r="AM185" i="1"/>
  <c r="AR185" i="1"/>
  <c r="AF144" i="1"/>
  <c r="AF184" i="1" s="1"/>
  <c r="M184" i="1" s="1"/>
  <c r="Z112" i="1"/>
  <c r="AM184" i="1"/>
  <c r="AR184" i="1"/>
  <c r="Y184" i="1"/>
  <c r="AL142" i="1"/>
  <c r="AQ142" i="1"/>
  <c r="X87" i="1"/>
  <c r="Z87" i="1"/>
  <c r="AL73" i="1"/>
  <c r="AL74" i="1" s="1"/>
  <c r="AC88" i="1"/>
  <c r="AG88" i="1" s="1"/>
  <c r="AF88" i="1" s="1"/>
  <c r="X88" i="1"/>
  <c r="AC77" i="1"/>
  <c r="AG77" i="1" s="1"/>
  <c r="AF77" i="1" s="1"/>
  <c r="X83" i="1"/>
  <c r="AI108" i="1"/>
  <c r="AI109" i="1" s="1"/>
  <c r="AN108" i="1"/>
  <c r="AN109" i="1" s="1"/>
  <c r="AC83" i="1"/>
  <c r="AG83" i="1" s="1"/>
  <c r="AF83" i="1" s="1"/>
  <c r="AQ108" i="1"/>
  <c r="AQ109" i="1" s="1"/>
  <c r="AL108" i="1"/>
  <c r="AL109" i="1" s="1"/>
  <c r="AQ73" i="1"/>
  <c r="AQ74" i="1" s="1"/>
  <c r="AI34" i="1"/>
  <c r="AI35" i="1" s="1"/>
  <c r="AQ34" i="1"/>
  <c r="AQ35" i="1" s="1"/>
  <c r="AO34" i="1"/>
  <c r="AO35" i="1" s="1"/>
  <c r="AN34" i="1"/>
  <c r="AN35" i="1" s="1"/>
  <c r="AL34" i="1"/>
  <c r="AL35" i="1" s="1"/>
  <c r="AJ34" i="1"/>
  <c r="AJ35" i="1" s="1"/>
  <c r="Q77" i="1"/>
  <c r="X77" i="1" s="1"/>
  <c r="AC86" i="1"/>
  <c r="AG86" i="1" s="1"/>
  <c r="AF86" i="1" s="1"/>
  <c r="Q86" i="1"/>
  <c r="AA67" i="1"/>
  <c r="Z67" i="1"/>
  <c r="U67" i="1"/>
  <c r="T67" i="1" s="1"/>
  <c r="P67" i="1"/>
  <c r="E67" i="1"/>
  <c r="F67" i="1" s="1"/>
  <c r="AE67" i="1" s="1"/>
  <c r="AF233" i="1" l="1"/>
  <c r="AF273" i="1" s="1"/>
  <c r="M273" i="1" s="1"/>
  <c r="AG273" i="1"/>
  <c r="AH273" i="1" s="1"/>
  <c r="AL143" i="1"/>
  <c r="AQ143" i="1"/>
  <c r="Q67" i="1"/>
  <c r="X67" i="1" s="1"/>
  <c r="X86" i="1"/>
  <c r="Z86" i="1"/>
  <c r="AC67" i="1"/>
  <c r="AG67" i="1" s="1"/>
  <c r="AF67" i="1" s="1"/>
  <c r="AA91" i="1"/>
  <c r="U91" i="1"/>
  <c r="T91" i="1" s="1"/>
  <c r="P91" i="1"/>
  <c r="E91" i="1"/>
  <c r="F91" i="1" s="1"/>
  <c r="AE91" i="1" s="1"/>
  <c r="O90" i="1"/>
  <c r="AA98" i="1"/>
  <c r="U98" i="1"/>
  <c r="T98" i="1" s="1"/>
  <c r="P98" i="1"/>
  <c r="E98" i="1"/>
  <c r="F98" i="1" s="1"/>
  <c r="AE98" i="1" s="1"/>
  <c r="AA90" i="1"/>
  <c r="Z90" i="1"/>
  <c r="U90" i="1"/>
  <c r="E90" i="1"/>
  <c r="F90" i="1" s="1"/>
  <c r="AE90" i="1" s="1"/>
  <c r="T90" i="1" l="1"/>
  <c r="AC90" i="1" s="1"/>
  <c r="AG90" i="1" s="1"/>
  <c r="AF90" i="1" s="1"/>
  <c r="P90" i="1"/>
  <c r="AK90" i="1"/>
  <c r="AK108" i="1" s="1"/>
  <c r="AK109" i="1" s="1"/>
  <c r="AP90" i="1"/>
  <c r="AP108" i="1" s="1"/>
  <c r="AP109" i="1" s="1"/>
  <c r="AC91" i="1"/>
  <c r="AG91" i="1" s="1"/>
  <c r="AF91" i="1" s="1"/>
  <c r="Q98" i="1"/>
  <c r="AC98" i="1"/>
  <c r="AG98" i="1" s="1"/>
  <c r="AF98" i="1" s="1"/>
  <c r="AA100" i="1"/>
  <c r="U100" i="1"/>
  <c r="T100" i="1" s="1"/>
  <c r="P100" i="1"/>
  <c r="E100" i="1"/>
  <c r="F100" i="1" s="1"/>
  <c r="AE100" i="1" s="1"/>
  <c r="Q90" i="1" l="1"/>
  <c r="X90" i="1" s="1"/>
  <c r="X98" i="1"/>
  <c r="Z98" i="1"/>
  <c r="X91" i="1"/>
  <c r="Z91" i="1"/>
  <c r="AC100" i="1"/>
  <c r="AG100" i="1" s="1"/>
  <c r="AF100" i="1" s="1"/>
  <c r="Q100" i="1"/>
  <c r="X100" i="1" l="1"/>
  <c r="Z100" i="1"/>
  <c r="AA92" i="1"/>
  <c r="U92" i="1"/>
  <c r="T92" i="1" s="1"/>
  <c r="P92" i="1"/>
  <c r="E92" i="1"/>
  <c r="F92" i="1" s="1"/>
  <c r="AE92" i="1" s="1"/>
  <c r="E96" i="1"/>
  <c r="F96" i="1" s="1"/>
  <c r="AE96" i="1" s="1"/>
  <c r="P96" i="1"/>
  <c r="Q96" i="1"/>
  <c r="U96" i="1"/>
  <c r="T96" i="1" s="1"/>
  <c r="Z96" i="1"/>
  <c r="AA96" i="1"/>
  <c r="AC92" i="1" l="1"/>
  <c r="AG92" i="1" s="1"/>
  <c r="AF92" i="1" s="1"/>
  <c r="AC96" i="1"/>
  <c r="AG96" i="1" s="1"/>
  <c r="AF96" i="1" s="1"/>
  <c r="X96" i="1"/>
  <c r="Q92" i="1"/>
  <c r="H110" i="1"/>
  <c r="AA110" i="1" s="1"/>
  <c r="AE137" i="1"/>
  <c r="AA137" i="1"/>
  <c r="Z137" i="1"/>
  <c r="U137" i="1"/>
  <c r="T137" i="1" s="1"/>
  <c r="Q137" i="1"/>
  <c r="P137" i="1"/>
  <c r="AE132" i="1"/>
  <c r="AA132" i="1"/>
  <c r="Z132" i="1"/>
  <c r="U132" i="1"/>
  <c r="T132" i="1" s="1"/>
  <c r="Q132" i="1"/>
  <c r="P132" i="1"/>
  <c r="AA126" i="1"/>
  <c r="Z126" i="1"/>
  <c r="U126" i="1"/>
  <c r="T126" i="1" s="1"/>
  <c r="Q126" i="1"/>
  <c r="P126" i="1"/>
  <c r="E126" i="1"/>
  <c r="F126" i="1" s="1"/>
  <c r="AE126" i="1" s="1"/>
  <c r="AA122" i="1"/>
  <c r="U122" i="1"/>
  <c r="T122" i="1" s="1"/>
  <c r="P122" i="1"/>
  <c r="E122" i="1"/>
  <c r="F122" i="1" s="1"/>
  <c r="AE122" i="1" s="1"/>
  <c r="AA120" i="1"/>
  <c r="U120" i="1"/>
  <c r="T120" i="1" s="1"/>
  <c r="P120" i="1"/>
  <c r="E120" i="1"/>
  <c r="F120" i="1" s="1"/>
  <c r="AE120" i="1" s="1"/>
  <c r="AE121" i="1"/>
  <c r="AA121" i="1"/>
  <c r="Z121" i="1"/>
  <c r="U121" i="1"/>
  <c r="T121" i="1" s="1"/>
  <c r="Q121" i="1"/>
  <c r="P121" i="1"/>
  <c r="AA117" i="1"/>
  <c r="Z117" i="1"/>
  <c r="U117" i="1"/>
  <c r="T117" i="1" s="1"/>
  <c r="Q117" i="1"/>
  <c r="P117" i="1"/>
  <c r="E117" i="1"/>
  <c r="F117" i="1" s="1"/>
  <c r="AE117" i="1" s="1"/>
  <c r="AA116" i="1"/>
  <c r="U116" i="1"/>
  <c r="T116" i="1" s="1"/>
  <c r="P116" i="1"/>
  <c r="E116" i="1"/>
  <c r="F116" i="1" s="1"/>
  <c r="AE116" i="1" s="1"/>
  <c r="AA115" i="1"/>
  <c r="Z115" i="1"/>
  <c r="U115" i="1"/>
  <c r="T115" i="1" s="1"/>
  <c r="Q115" i="1"/>
  <c r="P115" i="1"/>
  <c r="E115" i="1"/>
  <c r="F115" i="1" s="1"/>
  <c r="AE115" i="1" s="1"/>
  <c r="AE114" i="1"/>
  <c r="AA114" i="1"/>
  <c r="Z114" i="1"/>
  <c r="U114" i="1"/>
  <c r="T114" i="1" s="1"/>
  <c r="Q114" i="1"/>
  <c r="P114" i="1"/>
  <c r="E114" i="1"/>
  <c r="F114" i="1" s="1"/>
  <c r="AA113" i="1"/>
  <c r="U113" i="1"/>
  <c r="T113" i="1" s="1"/>
  <c r="P113" i="1"/>
  <c r="E113" i="1"/>
  <c r="F113" i="1" s="1"/>
  <c r="AE113" i="1" s="1"/>
  <c r="AA111" i="1"/>
  <c r="Z111" i="1"/>
  <c r="U111" i="1"/>
  <c r="T111" i="1" s="1"/>
  <c r="Q111" i="1"/>
  <c r="P111" i="1"/>
  <c r="E111" i="1"/>
  <c r="F111" i="1" s="1"/>
  <c r="AE111" i="1" s="1"/>
  <c r="Z110" i="1"/>
  <c r="U110" i="1"/>
  <c r="T110" i="1" s="1"/>
  <c r="Q110" i="1"/>
  <c r="P110" i="1"/>
  <c r="O142" i="1"/>
  <c r="U85" i="1"/>
  <c r="T85" i="1" s="1"/>
  <c r="AA85" i="1"/>
  <c r="E85" i="1"/>
  <c r="F85" i="1" s="1"/>
  <c r="AE85" i="1" s="1"/>
  <c r="P85" i="1"/>
  <c r="AA80" i="1"/>
  <c r="AC80" i="1" s="1"/>
  <c r="AE80" i="1"/>
  <c r="Z80" i="1"/>
  <c r="Q80" i="1"/>
  <c r="P80" i="1"/>
  <c r="U80" i="1"/>
  <c r="U81" i="1"/>
  <c r="AA81" i="1"/>
  <c r="AC81" i="1" s="1"/>
  <c r="E81" i="1"/>
  <c r="F81" i="1" s="1"/>
  <c r="AE81" i="1" s="1"/>
  <c r="P81" i="1"/>
  <c r="Q81" i="1" s="1"/>
  <c r="X81" i="1" s="1"/>
  <c r="AA82" i="1"/>
  <c r="P82" i="1"/>
  <c r="U82" i="1"/>
  <c r="T82" i="1" s="1"/>
  <c r="E82" i="1"/>
  <c r="F82" i="1" s="1"/>
  <c r="AE82" i="1" s="1"/>
  <c r="AA62" i="1"/>
  <c r="U62" i="1"/>
  <c r="T62" i="1" s="1"/>
  <c r="P62" i="1"/>
  <c r="E62" i="1"/>
  <c r="F62" i="1" s="1"/>
  <c r="AE62" i="1" s="1"/>
  <c r="E106" i="1"/>
  <c r="F106" i="1" s="1"/>
  <c r="AE106" i="1" s="1"/>
  <c r="AA106" i="1"/>
  <c r="Z106" i="1"/>
  <c r="U106" i="1"/>
  <c r="T106" i="1" s="1"/>
  <c r="Q106" i="1"/>
  <c r="P106" i="1"/>
  <c r="AA102" i="1"/>
  <c r="Z102" i="1"/>
  <c r="U102" i="1"/>
  <c r="T102" i="1" s="1"/>
  <c r="Q102" i="1"/>
  <c r="P102" i="1"/>
  <c r="E102" i="1"/>
  <c r="F102" i="1" s="1"/>
  <c r="AE102" i="1" s="1"/>
  <c r="AA89" i="1"/>
  <c r="U89" i="1"/>
  <c r="T89" i="1" s="1"/>
  <c r="P89" i="1"/>
  <c r="E89" i="1"/>
  <c r="F89" i="1" s="1"/>
  <c r="AE89" i="1" s="1"/>
  <c r="E52" i="1"/>
  <c r="F52" i="1" s="1"/>
  <c r="AE52" i="1"/>
  <c r="AA52" i="1"/>
  <c r="Z52" i="1"/>
  <c r="U52" i="1"/>
  <c r="T52" i="1" s="1"/>
  <c r="Q52" i="1"/>
  <c r="P52" i="1"/>
  <c r="AA68" i="1"/>
  <c r="U68" i="1"/>
  <c r="T68" i="1" s="1"/>
  <c r="P68" i="1"/>
  <c r="E68" i="1"/>
  <c r="F68" i="1" s="1"/>
  <c r="AE68" i="1" s="1"/>
  <c r="E69" i="1"/>
  <c r="F69" i="1" s="1"/>
  <c r="AE69" i="1" s="1"/>
  <c r="P69" i="1"/>
  <c r="U69" i="1"/>
  <c r="T69" i="1" s="1"/>
  <c r="AA69" i="1"/>
  <c r="AA79" i="1"/>
  <c r="U79" i="1"/>
  <c r="T79" i="1" s="1"/>
  <c r="P79" i="1"/>
  <c r="E79" i="1"/>
  <c r="F79" i="1" s="1"/>
  <c r="AE79" i="1" s="1"/>
  <c r="AA65" i="1"/>
  <c r="U65" i="1"/>
  <c r="T65" i="1" s="1"/>
  <c r="P65" i="1"/>
  <c r="E65" i="1"/>
  <c r="F65" i="1" s="1"/>
  <c r="AE65" i="1" s="1"/>
  <c r="P78" i="1"/>
  <c r="AA55" i="1"/>
  <c r="U55" i="1"/>
  <c r="T55" i="1" s="1"/>
  <c r="P55" i="1"/>
  <c r="E55" i="1"/>
  <c r="F55" i="1" s="1"/>
  <c r="AE55" i="1" s="1"/>
  <c r="U94" i="1"/>
  <c r="T94" i="1" s="1"/>
  <c r="P94" i="1"/>
  <c r="U47" i="1"/>
  <c r="T47" i="1" s="1"/>
  <c r="Q47" i="1"/>
  <c r="P47" i="1"/>
  <c r="U72" i="1"/>
  <c r="T72" i="1" s="1"/>
  <c r="Q72" i="1"/>
  <c r="P72" i="1"/>
  <c r="U71" i="1"/>
  <c r="T71" i="1" s="1"/>
  <c r="Q71" i="1"/>
  <c r="P71" i="1"/>
  <c r="U107" i="1"/>
  <c r="T107" i="1" s="1"/>
  <c r="Q107" i="1"/>
  <c r="P107" i="1"/>
  <c r="Z418" i="1"/>
  <c r="Z107" i="1"/>
  <c r="Z75" i="1"/>
  <c r="Z72" i="1"/>
  <c r="Z71" i="1"/>
  <c r="Z70" i="1"/>
  <c r="Z64" i="1"/>
  <c r="Z60" i="1"/>
  <c r="Z57" i="1"/>
  <c r="Z53" i="1"/>
  <c r="Z47" i="1"/>
  <c r="Z46" i="1"/>
  <c r="Z45" i="1"/>
  <c r="Z44" i="1"/>
  <c r="Z43" i="1"/>
  <c r="Z42" i="1"/>
  <c r="Z41" i="1"/>
  <c r="Z40" i="1"/>
  <c r="Z39" i="1"/>
  <c r="Z38" i="1"/>
  <c r="Z37" i="1"/>
  <c r="Z36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AA418" i="1"/>
  <c r="U418" i="1"/>
  <c r="T418" i="1" s="1"/>
  <c r="P418" i="1"/>
  <c r="E418" i="1"/>
  <c r="F418" i="1" s="1"/>
  <c r="AE418" i="1"/>
  <c r="U84" i="1"/>
  <c r="T84" i="1" s="1"/>
  <c r="U78" i="1"/>
  <c r="T78" i="1" s="1"/>
  <c r="U76" i="1"/>
  <c r="T76" i="1" s="1"/>
  <c r="U75" i="1"/>
  <c r="T75" i="1" s="1"/>
  <c r="U70" i="1"/>
  <c r="T70" i="1" s="1"/>
  <c r="U66" i="1"/>
  <c r="U64" i="1"/>
  <c r="T64" i="1" s="1"/>
  <c r="U63" i="1"/>
  <c r="U61" i="1"/>
  <c r="T61" i="1" s="1"/>
  <c r="U60" i="1"/>
  <c r="T60" i="1" s="1"/>
  <c r="U59" i="1"/>
  <c r="U58" i="1"/>
  <c r="U57" i="1"/>
  <c r="T57" i="1" s="1"/>
  <c r="U56" i="1"/>
  <c r="U54" i="1"/>
  <c r="T54" i="1" s="1"/>
  <c r="U53" i="1"/>
  <c r="T53" i="1" s="1"/>
  <c r="U51" i="1"/>
  <c r="U50" i="1"/>
  <c r="U49" i="1"/>
  <c r="U48" i="1"/>
  <c r="U46" i="1"/>
  <c r="T46" i="1" s="1"/>
  <c r="U45" i="1"/>
  <c r="U44" i="1"/>
  <c r="U43" i="1"/>
  <c r="T43" i="1" s="1"/>
  <c r="U42" i="1"/>
  <c r="T42" i="1" s="1"/>
  <c r="U41" i="1"/>
  <c r="T41" i="1" s="1"/>
  <c r="U40" i="1"/>
  <c r="T40" i="1" s="1"/>
  <c r="U39" i="1"/>
  <c r="U38" i="1"/>
  <c r="T38" i="1" s="1"/>
  <c r="U37" i="1"/>
  <c r="U36" i="1"/>
  <c r="T36" i="1" s="1"/>
  <c r="U33" i="1"/>
  <c r="T33" i="1" s="1"/>
  <c r="U32" i="1"/>
  <c r="U31" i="1"/>
  <c r="U30" i="1"/>
  <c r="U29" i="1"/>
  <c r="T29" i="1" s="1"/>
  <c r="U28" i="1"/>
  <c r="T28" i="1" s="1"/>
  <c r="U27" i="1"/>
  <c r="U26" i="1"/>
  <c r="U25" i="1"/>
  <c r="T25" i="1" s="1"/>
  <c r="U24" i="1"/>
  <c r="U23" i="1"/>
  <c r="U22" i="1"/>
  <c r="T22" i="1" s="1"/>
  <c r="U21" i="1"/>
  <c r="T21" i="1" s="1"/>
  <c r="U20" i="1"/>
  <c r="T20" i="1" s="1"/>
  <c r="U18" i="1"/>
  <c r="T18" i="1" s="1"/>
  <c r="U19" i="1"/>
  <c r="U17" i="1"/>
  <c r="T17" i="1" s="1"/>
  <c r="AA107" i="1"/>
  <c r="AA84" i="1"/>
  <c r="AA78" i="1"/>
  <c r="AC78" i="1" s="1"/>
  <c r="AA76" i="1"/>
  <c r="AC76" i="1" s="1"/>
  <c r="AA75" i="1"/>
  <c r="AC75" i="1" s="1"/>
  <c r="AE107" i="1"/>
  <c r="AA36" i="1"/>
  <c r="AC36" i="1" s="1"/>
  <c r="AG36" i="1" s="1"/>
  <c r="AA70" i="1"/>
  <c r="AC70" i="1" s="1"/>
  <c r="AA66" i="1"/>
  <c r="AC66" i="1" s="1"/>
  <c r="AA64" i="1"/>
  <c r="AC64" i="1" s="1"/>
  <c r="AA63" i="1"/>
  <c r="AC63" i="1" s="1"/>
  <c r="AA61" i="1"/>
  <c r="AC61" i="1" s="1"/>
  <c r="AA60" i="1"/>
  <c r="AC60" i="1" s="1"/>
  <c r="AA59" i="1"/>
  <c r="AC59" i="1" s="1"/>
  <c r="AA94" i="1"/>
  <c r="AA58" i="1"/>
  <c r="AA57" i="1"/>
  <c r="AA56" i="1"/>
  <c r="AC56" i="1" s="1"/>
  <c r="AA54" i="1"/>
  <c r="AA53" i="1"/>
  <c r="AC53" i="1" s="1"/>
  <c r="AA51" i="1"/>
  <c r="AC51" i="1" s="1"/>
  <c r="AA50" i="1"/>
  <c r="AA49" i="1"/>
  <c r="AC49" i="1" s="1"/>
  <c r="AA48" i="1"/>
  <c r="AA47" i="1"/>
  <c r="AA46" i="1"/>
  <c r="AA45" i="1"/>
  <c r="AC45" i="1" s="1"/>
  <c r="AA44" i="1"/>
  <c r="AA43" i="1"/>
  <c r="AC43" i="1" s="1"/>
  <c r="AA42" i="1"/>
  <c r="AA41" i="1"/>
  <c r="AC41" i="1" s="1"/>
  <c r="AA40" i="1"/>
  <c r="AC40" i="1" s="1"/>
  <c r="AA39" i="1"/>
  <c r="AC39" i="1" s="1"/>
  <c r="AA38" i="1"/>
  <c r="AA37" i="1"/>
  <c r="AC37" i="1" s="1"/>
  <c r="E31" i="1"/>
  <c r="E76" i="1"/>
  <c r="F76" i="1" s="1"/>
  <c r="AE76" i="1" s="1"/>
  <c r="P76" i="1"/>
  <c r="Q76" i="1" s="1"/>
  <c r="X76" i="1" s="1"/>
  <c r="E78" i="1"/>
  <c r="F78" i="1" s="1"/>
  <c r="AE78" i="1" s="1"/>
  <c r="P49" i="1"/>
  <c r="Q49" i="1" s="1"/>
  <c r="X49" i="1" s="1"/>
  <c r="E49" i="1"/>
  <c r="F49" i="1" s="1"/>
  <c r="AE49" i="1" s="1"/>
  <c r="P56" i="1"/>
  <c r="Q56" i="1" s="1"/>
  <c r="X56" i="1" s="1"/>
  <c r="E56" i="1"/>
  <c r="F56" i="1" s="1"/>
  <c r="AE56" i="1" s="1"/>
  <c r="Z56" i="1"/>
  <c r="Z49" i="1"/>
  <c r="O58" i="1"/>
  <c r="Q38" i="1"/>
  <c r="P38" i="1"/>
  <c r="E38" i="1"/>
  <c r="F38" i="1" s="1"/>
  <c r="AE38" i="1" s="1"/>
  <c r="Q64" i="1"/>
  <c r="P64" i="1"/>
  <c r="E64" i="1"/>
  <c r="F64" i="1" s="1"/>
  <c r="AE64" i="1" s="1"/>
  <c r="E40" i="1"/>
  <c r="F40" i="1" s="1"/>
  <c r="AE40" i="1" s="1"/>
  <c r="P40" i="1"/>
  <c r="Q40" i="1" s="1"/>
  <c r="X40" i="1" s="1"/>
  <c r="AC31" i="1"/>
  <c r="AG31" i="1" s="1"/>
  <c r="AF31" i="1" s="1"/>
  <c r="Q31" i="1"/>
  <c r="O50" i="1"/>
  <c r="P66" i="1"/>
  <c r="Q66" i="1" s="1"/>
  <c r="E66" i="1"/>
  <c r="F66" i="1" s="1"/>
  <c r="AE66" i="1" s="1"/>
  <c r="P63" i="1"/>
  <c r="Q63" i="1" s="1"/>
  <c r="E63" i="1"/>
  <c r="F63" i="1" s="1"/>
  <c r="AE63" i="1" s="1"/>
  <c r="P61" i="1"/>
  <c r="Q61" i="1" s="1"/>
  <c r="X61" i="1" s="1"/>
  <c r="Z61" i="1"/>
  <c r="E61" i="1"/>
  <c r="F61" i="1" s="1"/>
  <c r="AE61" i="1" s="1"/>
  <c r="E94" i="1"/>
  <c r="F94" i="1" s="1"/>
  <c r="AE94" i="1" s="1"/>
  <c r="E58" i="1"/>
  <c r="F58" i="1" s="1"/>
  <c r="AE58" i="1" s="1"/>
  <c r="AE57" i="1"/>
  <c r="P57" i="1"/>
  <c r="Q57" i="1"/>
  <c r="E57" i="1"/>
  <c r="F57" i="1" s="1"/>
  <c r="E50" i="1"/>
  <c r="F50" i="1" s="1"/>
  <c r="AE50" i="1" s="1"/>
  <c r="AE47" i="1"/>
  <c r="E47" i="1"/>
  <c r="F47" i="1" s="1"/>
  <c r="O46" i="1"/>
  <c r="Q37" i="1"/>
  <c r="Z58" i="1"/>
  <c r="P11" i="1"/>
  <c r="P10" i="1"/>
  <c r="P9" i="1"/>
  <c r="Z50" i="1"/>
  <c r="P59" i="1"/>
  <c r="Q59" i="1" s="1"/>
  <c r="E59" i="1"/>
  <c r="F59" i="1" s="1"/>
  <c r="AE59" i="1" s="1"/>
  <c r="Q75" i="1"/>
  <c r="X75" i="1" s="1"/>
  <c r="E75" i="1"/>
  <c r="O54" i="1"/>
  <c r="E54" i="1"/>
  <c r="F54" i="1" s="1"/>
  <c r="AE54" i="1" s="1"/>
  <c r="E72" i="1"/>
  <c r="F72" i="1" s="1"/>
  <c r="E71" i="1"/>
  <c r="F71" i="1" s="1"/>
  <c r="AE72" i="1"/>
  <c r="AE71" i="1"/>
  <c r="AE20" i="1"/>
  <c r="E107" i="1"/>
  <c r="F107" i="1" s="1"/>
  <c r="E70" i="1"/>
  <c r="F70" i="1" s="1"/>
  <c r="AE70" i="1" s="1"/>
  <c r="E60" i="1"/>
  <c r="F60" i="1" s="1"/>
  <c r="AE60" i="1" s="1"/>
  <c r="E84" i="1"/>
  <c r="F84" i="1" s="1"/>
  <c r="AE84" i="1" s="1"/>
  <c r="E53" i="1"/>
  <c r="F53" i="1" s="1"/>
  <c r="AE53" i="1" s="1"/>
  <c r="E51" i="1"/>
  <c r="F51" i="1" s="1"/>
  <c r="AE51" i="1" s="1"/>
  <c r="E48" i="1"/>
  <c r="F48" i="1" s="1"/>
  <c r="AE48" i="1" s="1"/>
  <c r="E46" i="1"/>
  <c r="F46" i="1" s="1"/>
  <c r="AE46" i="1" s="1"/>
  <c r="E45" i="1"/>
  <c r="F45" i="1" s="1"/>
  <c r="AE45" i="1" s="1"/>
  <c r="E44" i="1"/>
  <c r="F44" i="1" s="1"/>
  <c r="AE44" i="1" s="1"/>
  <c r="E43" i="1"/>
  <c r="F43" i="1" s="1"/>
  <c r="AE43" i="1" s="1"/>
  <c r="E42" i="1"/>
  <c r="F42" i="1" s="1"/>
  <c r="AE42" i="1" s="1"/>
  <c r="E41" i="1"/>
  <c r="F41" i="1" s="1"/>
  <c r="AE41" i="1" s="1"/>
  <c r="E39" i="1"/>
  <c r="F39" i="1" s="1"/>
  <c r="AE39" i="1" s="1"/>
  <c r="E37" i="1"/>
  <c r="F37" i="1" s="1"/>
  <c r="AE37" i="1" s="1"/>
  <c r="E36" i="1"/>
  <c r="E35" i="1"/>
  <c r="E33" i="1"/>
  <c r="F33" i="1" s="1"/>
  <c r="AE33" i="1" s="1"/>
  <c r="E32" i="1"/>
  <c r="F32" i="1" s="1"/>
  <c r="AE32" i="1" s="1"/>
  <c r="E30" i="1"/>
  <c r="F30" i="1" s="1"/>
  <c r="AE30" i="1" s="1"/>
  <c r="E29" i="1"/>
  <c r="F29" i="1" s="1"/>
  <c r="AE29" i="1" s="1"/>
  <c r="E28" i="1"/>
  <c r="F28" i="1" s="1"/>
  <c r="AE28" i="1" s="1"/>
  <c r="E27" i="1"/>
  <c r="F27" i="1" s="1"/>
  <c r="AE27" i="1" s="1"/>
  <c r="E26" i="1"/>
  <c r="F26" i="1" s="1"/>
  <c r="AE26" i="1" s="1"/>
  <c r="E25" i="1"/>
  <c r="F25" i="1" s="1"/>
  <c r="AE25" i="1" s="1"/>
  <c r="E24" i="1"/>
  <c r="F24" i="1" s="1"/>
  <c r="AE24" i="1" s="1"/>
  <c r="E23" i="1"/>
  <c r="F23" i="1" s="1"/>
  <c r="AE23" i="1" s="1"/>
  <c r="E22" i="1"/>
  <c r="F22" i="1" s="1"/>
  <c r="AE22" i="1" s="1"/>
  <c r="E21" i="1"/>
  <c r="F21" i="1" s="1"/>
  <c r="AE21" i="1" s="1"/>
  <c r="E20" i="1"/>
  <c r="F20" i="1" s="1"/>
  <c r="E19" i="1"/>
  <c r="F19" i="1" s="1"/>
  <c r="AE19" i="1" s="1"/>
  <c r="E18" i="1"/>
  <c r="E17" i="1"/>
  <c r="AD407" i="1"/>
  <c r="AA72" i="1"/>
  <c r="AA71" i="1"/>
  <c r="Q70" i="1"/>
  <c r="X70" i="1" s="1"/>
  <c r="Q60" i="1"/>
  <c r="X60" i="1" s="1"/>
  <c r="Q53" i="1"/>
  <c r="X53" i="1" s="1"/>
  <c r="Q32" i="1"/>
  <c r="X32" i="1" s="1"/>
  <c r="AC29" i="1"/>
  <c r="AC28" i="1"/>
  <c r="AA17" i="1"/>
  <c r="Z54" i="1"/>
  <c r="AC32" i="1"/>
  <c r="X43" i="1"/>
  <c r="X36" i="1"/>
  <c r="X33" i="1"/>
  <c r="X29" i="1"/>
  <c r="X28" i="1"/>
  <c r="AC27" i="1"/>
  <c r="Q27" i="1"/>
  <c r="X27" i="1" s="1"/>
  <c r="P51" i="1"/>
  <c r="Q51" i="1" s="1"/>
  <c r="P45" i="1"/>
  <c r="Q45" i="1" s="1"/>
  <c r="Z51" i="1"/>
  <c r="O44" i="1"/>
  <c r="N11" i="1"/>
  <c r="N10" i="1"/>
  <c r="N9" i="1"/>
  <c r="O4" i="1"/>
  <c r="P4" i="1" s="1"/>
  <c r="P22" i="1"/>
  <c r="Q22" i="1" s="1"/>
  <c r="X22" i="1" s="1"/>
  <c r="P39" i="1"/>
  <c r="X39" i="1" s="1"/>
  <c r="AC33" i="1"/>
  <c r="P23" i="1"/>
  <c r="O23" i="1"/>
  <c r="O42" i="1"/>
  <c r="O48" i="1"/>
  <c r="AC25" i="1"/>
  <c r="AC30" i="1"/>
  <c r="AC26" i="1"/>
  <c r="AC24" i="1"/>
  <c r="AC22" i="1"/>
  <c r="AC21" i="1"/>
  <c r="AC20" i="1"/>
  <c r="AC19" i="1"/>
  <c r="AC18" i="1"/>
  <c r="X41" i="1"/>
  <c r="Q30" i="1"/>
  <c r="X30" i="1" s="1"/>
  <c r="Q26" i="1"/>
  <c r="X26" i="1" s="1"/>
  <c r="Q25" i="1"/>
  <c r="X25" i="1" s="1"/>
  <c r="Q24" i="1"/>
  <c r="X24" i="1" s="1"/>
  <c r="Q21" i="1"/>
  <c r="X21" i="1" s="1"/>
  <c r="Q20" i="1"/>
  <c r="Q19" i="1"/>
  <c r="Q18" i="1"/>
  <c r="X18" i="1" s="1"/>
  <c r="Q17" i="1"/>
  <c r="X17" i="1" s="1"/>
  <c r="Z48" i="1"/>
  <c r="R11" i="1" l="1"/>
  <c r="U11" i="1" s="1"/>
  <c r="X418" i="1"/>
  <c r="AI116" i="1"/>
  <c r="AN116" i="1"/>
  <c r="AJ122" i="1"/>
  <c r="AO122" i="1"/>
  <c r="F36" i="1"/>
  <c r="AE36" i="1" s="1"/>
  <c r="AE73" i="1" s="1"/>
  <c r="D73" i="1"/>
  <c r="F17" i="1"/>
  <c r="AE17" i="1" s="1"/>
  <c r="D34" i="1"/>
  <c r="F75" i="1"/>
  <c r="AE75" i="1" s="1"/>
  <c r="AE108" i="1" s="1"/>
  <c r="D108" i="1"/>
  <c r="AJ116" i="1"/>
  <c r="AO116" i="1"/>
  <c r="AJ120" i="1"/>
  <c r="AO120" i="1"/>
  <c r="AK122" i="1"/>
  <c r="AK142" i="1" s="1"/>
  <c r="AK143" i="1" s="1"/>
  <c r="AP122" i="1"/>
  <c r="AP142" i="1" s="1"/>
  <c r="AP143" i="1" s="1"/>
  <c r="AN113" i="1"/>
  <c r="AI113" i="1"/>
  <c r="Q122" i="1"/>
  <c r="Z122" i="1" s="1"/>
  <c r="AA34" i="1"/>
  <c r="AB34" i="1" s="1"/>
  <c r="Q94" i="1"/>
  <c r="Z94" i="1" s="1"/>
  <c r="E110" i="1"/>
  <c r="H411" i="1" s="1"/>
  <c r="Q113" i="1"/>
  <c r="T19" i="1"/>
  <c r="Q116" i="1"/>
  <c r="Z116" i="1" s="1"/>
  <c r="AP54" i="1"/>
  <c r="AK54" i="1"/>
  <c r="AK58" i="1"/>
  <c r="AP58" i="1"/>
  <c r="O34" i="1"/>
  <c r="AP23" i="1"/>
  <c r="AP34" i="1" s="1"/>
  <c r="AK23" i="1"/>
  <c r="AK34" i="1" s="1"/>
  <c r="P44" i="1"/>
  <c r="Q44" i="1" s="1"/>
  <c r="X44" i="1" s="1"/>
  <c r="AO44" i="1"/>
  <c r="AJ44" i="1"/>
  <c r="Q46" i="1"/>
  <c r="X46" i="1" s="1"/>
  <c r="AO46" i="1"/>
  <c r="AJ46" i="1"/>
  <c r="X84" i="1"/>
  <c r="AO84" i="1"/>
  <c r="AO108" i="1" s="1"/>
  <c r="AJ84" i="1"/>
  <c r="AJ108" i="1" s="1"/>
  <c r="AO48" i="1"/>
  <c r="AJ48" i="1"/>
  <c r="P42" i="1"/>
  <c r="Q42" i="1" s="1"/>
  <c r="X42" i="1" s="1"/>
  <c r="AN42" i="1"/>
  <c r="AN73" i="1" s="1"/>
  <c r="AI42" i="1"/>
  <c r="AI73" i="1" s="1"/>
  <c r="P50" i="1"/>
  <c r="Q50" i="1" s="1"/>
  <c r="T50" i="1" s="1"/>
  <c r="AO50" i="1"/>
  <c r="AJ50" i="1"/>
  <c r="X47" i="1"/>
  <c r="AC71" i="1"/>
  <c r="AG71" i="1" s="1"/>
  <c r="AF71" i="1" s="1"/>
  <c r="AG59" i="1"/>
  <c r="AF59" i="1" s="1"/>
  <c r="AC57" i="1"/>
  <c r="AG57" i="1" s="1"/>
  <c r="AF57" i="1" s="1"/>
  <c r="AC84" i="1"/>
  <c r="AG84" i="1" s="1"/>
  <c r="AF84" i="1" s="1"/>
  <c r="O108" i="1"/>
  <c r="AG20" i="1"/>
  <c r="AF20" i="1" s="1"/>
  <c r="X71" i="1"/>
  <c r="AC115" i="1"/>
  <c r="AG115" i="1" s="1"/>
  <c r="AF115" i="1" s="1"/>
  <c r="AC48" i="1"/>
  <c r="AG48" i="1" s="1"/>
  <c r="AF48" i="1" s="1"/>
  <c r="T66" i="1"/>
  <c r="T31" i="1"/>
  <c r="AG56" i="1"/>
  <c r="AF56" i="1" s="1"/>
  <c r="AC418" i="1"/>
  <c r="AG418" i="1" s="1"/>
  <c r="AF418" i="1" s="1"/>
  <c r="Z34" i="1"/>
  <c r="Q34" i="1" s="1"/>
  <c r="AC126" i="1"/>
  <c r="AG126" i="1" s="1"/>
  <c r="AF126" i="1" s="1"/>
  <c r="T56" i="1"/>
  <c r="X111" i="1"/>
  <c r="AC50" i="1"/>
  <c r="AG50" i="1" s="1"/>
  <c r="AF50" i="1" s="1"/>
  <c r="T39" i="1"/>
  <c r="Q23" i="1"/>
  <c r="T23" i="1" s="1"/>
  <c r="T24" i="1"/>
  <c r="AC23" i="1"/>
  <c r="AG23" i="1" s="1"/>
  <c r="AF23" i="1" s="1"/>
  <c r="AG37" i="1"/>
  <c r="AF37" i="1" s="1"/>
  <c r="AC102" i="1"/>
  <c r="AG102" i="1" s="1"/>
  <c r="AF102" i="1" s="1"/>
  <c r="AG66" i="1"/>
  <c r="AF66" i="1" s="1"/>
  <c r="AC82" i="1"/>
  <c r="AG82" i="1" s="1"/>
  <c r="AF82" i="1" s="1"/>
  <c r="Z81" i="1"/>
  <c r="AC117" i="1"/>
  <c r="AG117" i="1" s="1"/>
  <c r="AF117" i="1" s="1"/>
  <c r="AC120" i="1"/>
  <c r="AG120" i="1" s="1"/>
  <c r="AF120" i="1" s="1"/>
  <c r="AG41" i="1"/>
  <c r="AF41" i="1" s="1"/>
  <c r="T30" i="1"/>
  <c r="Q48" i="1"/>
  <c r="X48" i="1" s="1"/>
  <c r="O73" i="1"/>
  <c r="AG43" i="1"/>
  <c r="AF43" i="1" s="1"/>
  <c r="AC54" i="1"/>
  <c r="AG54" i="1" s="1"/>
  <c r="AF54" i="1" s="1"/>
  <c r="AG61" i="1"/>
  <c r="AF61" i="1" s="1"/>
  <c r="AG63" i="1"/>
  <c r="AF63" i="1" s="1"/>
  <c r="Z76" i="1"/>
  <c r="AG80" i="1"/>
  <c r="AF80" i="1" s="1"/>
  <c r="AC85" i="1"/>
  <c r="AG85" i="1" s="1"/>
  <c r="AF85" i="1" s="1"/>
  <c r="AC17" i="1"/>
  <c r="AC47" i="1"/>
  <c r="AG47" i="1" s="1"/>
  <c r="AF47" i="1" s="1"/>
  <c r="Q78" i="1"/>
  <c r="Z78" i="1" s="1"/>
  <c r="AC106" i="1"/>
  <c r="AG106" i="1" s="1"/>
  <c r="AF106" i="1" s="1"/>
  <c r="AC110" i="1"/>
  <c r="AC114" i="1"/>
  <c r="AG114" i="1" s="1"/>
  <c r="AF114" i="1" s="1"/>
  <c r="AC121" i="1"/>
  <c r="AG121" i="1" s="1"/>
  <c r="AF121" i="1" s="1"/>
  <c r="AC122" i="1"/>
  <c r="AG122" i="1" s="1"/>
  <c r="AF122" i="1" s="1"/>
  <c r="AC137" i="1"/>
  <c r="AG137" i="1" s="1"/>
  <c r="AF137" i="1" s="1"/>
  <c r="X19" i="1"/>
  <c r="AG21" i="1"/>
  <c r="AF21" i="1" s="1"/>
  <c r="AG25" i="1"/>
  <c r="AF25" i="1" s="1"/>
  <c r="AG49" i="1"/>
  <c r="AF49" i="1" s="1"/>
  <c r="AC52" i="1"/>
  <c r="AG52" i="1" s="1"/>
  <c r="AF52" i="1" s="1"/>
  <c r="AC113" i="1"/>
  <c r="AG113" i="1" s="1"/>
  <c r="AF113" i="1" s="1"/>
  <c r="AC116" i="1"/>
  <c r="AG116" i="1" s="1"/>
  <c r="AF116" i="1" s="1"/>
  <c r="X117" i="1"/>
  <c r="AC132" i="1"/>
  <c r="AG132" i="1" s="1"/>
  <c r="AF132" i="1" s="1"/>
  <c r="X92" i="1"/>
  <c r="Z92" i="1"/>
  <c r="AC55" i="1"/>
  <c r="AG55" i="1" s="1"/>
  <c r="AF55" i="1" s="1"/>
  <c r="AC69" i="1"/>
  <c r="AG69" i="1" s="1"/>
  <c r="AF69" i="1" s="1"/>
  <c r="X80" i="1"/>
  <c r="Q120" i="1"/>
  <c r="Z120" i="1" s="1"/>
  <c r="T27" i="1"/>
  <c r="AG27" i="1"/>
  <c r="AF27" i="1" s="1"/>
  <c r="H73" i="1"/>
  <c r="J73" i="1" s="1"/>
  <c r="AG26" i="1"/>
  <c r="AF26" i="1" s="1"/>
  <c r="X57" i="1"/>
  <c r="X64" i="1"/>
  <c r="X107" i="1"/>
  <c r="X72" i="1"/>
  <c r="AC79" i="1"/>
  <c r="AG79" i="1" s="1"/>
  <c r="AF79" i="1" s="1"/>
  <c r="Q68" i="1"/>
  <c r="X68" i="1" s="1"/>
  <c r="X52" i="1"/>
  <c r="X106" i="1"/>
  <c r="X110" i="1"/>
  <c r="X114" i="1"/>
  <c r="X115" i="1"/>
  <c r="X121" i="1"/>
  <c r="X126" i="1"/>
  <c r="X132" i="1"/>
  <c r="X137" i="1"/>
  <c r="AC111" i="1"/>
  <c r="AG111" i="1" s="1"/>
  <c r="AF111" i="1" s="1"/>
  <c r="AA142" i="1"/>
  <c r="AB142" i="1" s="1"/>
  <c r="AG39" i="1"/>
  <c r="AF39" i="1" s="1"/>
  <c r="AG22" i="1"/>
  <c r="AF22" i="1" s="1"/>
  <c r="AG32" i="1"/>
  <c r="AF32" i="1" s="1"/>
  <c r="AG45" i="1"/>
  <c r="AF45" i="1" s="1"/>
  <c r="AC94" i="1"/>
  <c r="AG94" i="1" s="1"/>
  <c r="AF94" i="1" s="1"/>
  <c r="AC44" i="1"/>
  <c r="AG44" i="1" s="1"/>
  <c r="AF44" i="1" s="1"/>
  <c r="AG33" i="1"/>
  <c r="AF33" i="1" s="1"/>
  <c r="AG53" i="1"/>
  <c r="AF53" i="1" s="1"/>
  <c r="Z66" i="1"/>
  <c r="X38" i="1"/>
  <c r="AC42" i="1"/>
  <c r="AG42" i="1" s="1"/>
  <c r="AF42" i="1" s="1"/>
  <c r="AC46" i="1"/>
  <c r="AG46" i="1" s="1"/>
  <c r="AF46" i="1" s="1"/>
  <c r="X45" i="1"/>
  <c r="T45" i="1"/>
  <c r="F18" i="1"/>
  <c r="AE18" i="1" s="1"/>
  <c r="AG18" i="1" s="1"/>
  <c r="AF18" i="1" s="1"/>
  <c r="H34" i="1"/>
  <c r="AG70" i="1"/>
  <c r="AF70" i="1" s="1"/>
  <c r="P54" i="1"/>
  <c r="Q54" i="1" s="1"/>
  <c r="X54" i="1" s="1"/>
  <c r="X31" i="1"/>
  <c r="AC107" i="1"/>
  <c r="AG107" i="1" s="1"/>
  <c r="AF107" i="1" s="1"/>
  <c r="AC72" i="1"/>
  <c r="AG72" i="1" s="1"/>
  <c r="AF72" i="1" s="1"/>
  <c r="Q89" i="1"/>
  <c r="Z89" i="1" s="1"/>
  <c r="AC89" i="1"/>
  <c r="AG89" i="1" s="1"/>
  <c r="AF89" i="1" s="1"/>
  <c r="AG19" i="1"/>
  <c r="AF19" i="1" s="1"/>
  <c r="U3" i="1"/>
  <c r="V3" i="1" s="1"/>
  <c r="T37" i="1"/>
  <c r="X37" i="1"/>
  <c r="T63" i="1"/>
  <c r="Z63" i="1"/>
  <c r="X63" i="1"/>
  <c r="H108" i="1"/>
  <c r="P58" i="1"/>
  <c r="Q58" i="1" s="1"/>
  <c r="X58" i="1" s="1"/>
  <c r="AC58" i="1"/>
  <c r="AG58" i="1" s="1"/>
  <c r="AF58" i="1" s="1"/>
  <c r="AC38" i="1"/>
  <c r="AG38" i="1" s="1"/>
  <c r="AF38" i="1" s="1"/>
  <c r="AA73" i="1"/>
  <c r="AB73" i="1" s="1"/>
  <c r="T32" i="1"/>
  <c r="Q79" i="1"/>
  <c r="T26" i="1"/>
  <c r="AG24" i="1"/>
  <c r="AF24" i="1" s="1"/>
  <c r="AG30" i="1"/>
  <c r="AF30" i="1" s="1"/>
  <c r="AG28" i="1"/>
  <c r="AF28" i="1" s="1"/>
  <c r="AG29" i="1"/>
  <c r="AF29" i="1" s="1"/>
  <c r="AG40" i="1"/>
  <c r="AF40" i="1" s="1"/>
  <c r="AG78" i="1"/>
  <c r="AF78" i="1" s="1"/>
  <c r="AA108" i="1"/>
  <c r="AB108" i="1" s="1"/>
  <c r="Q55" i="1"/>
  <c r="AC68" i="1"/>
  <c r="AG68" i="1" s="1"/>
  <c r="AF68" i="1" s="1"/>
  <c r="Q69" i="1"/>
  <c r="Z69" i="1" s="1"/>
  <c r="X102" i="1"/>
  <c r="Q82" i="1"/>
  <c r="Z82" i="1" s="1"/>
  <c r="AG51" i="1"/>
  <c r="AF51" i="1" s="1"/>
  <c r="AG60" i="1"/>
  <c r="AF60" i="1" s="1"/>
  <c r="AG76" i="1"/>
  <c r="AF36" i="1"/>
  <c r="X51" i="1"/>
  <c r="T51" i="1"/>
  <c r="Z59" i="1"/>
  <c r="X59" i="1"/>
  <c r="T59" i="1"/>
  <c r="AG64" i="1"/>
  <c r="AF64" i="1" s="1"/>
  <c r="U4" i="1"/>
  <c r="V4" i="1" s="1"/>
  <c r="X66" i="1"/>
  <c r="T49" i="1"/>
  <c r="AG81" i="1"/>
  <c r="AF81" i="1" s="1"/>
  <c r="Q85" i="1"/>
  <c r="Q65" i="1"/>
  <c r="AC65" i="1"/>
  <c r="AG65" i="1" s="1"/>
  <c r="AF65" i="1" s="1"/>
  <c r="Q62" i="1"/>
  <c r="AC62" i="1"/>
  <c r="W11" i="1" l="1"/>
  <c r="AA407" i="1"/>
  <c r="AC407" i="1"/>
  <c r="O407" i="1"/>
  <c r="L9" i="1"/>
  <c r="V9" i="1" s="1"/>
  <c r="V2" i="1"/>
  <c r="R10" i="1"/>
  <c r="U10" i="1" s="1"/>
  <c r="L10" i="1"/>
  <c r="V10" i="1" s="1"/>
  <c r="J34" i="1"/>
  <c r="AG17" i="1"/>
  <c r="AG34" i="1" s="1"/>
  <c r="AH34" i="1" s="1"/>
  <c r="AI142" i="1"/>
  <c r="AI143" i="1" s="1"/>
  <c r="AG75" i="1"/>
  <c r="AF75" i="1" s="1"/>
  <c r="AN142" i="1"/>
  <c r="AN143" i="1" s="1"/>
  <c r="F110" i="1"/>
  <c r="AE110" i="1" s="1"/>
  <c r="AE142" i="1" s="1"/>
  <c r="D142" i="1"/>
  <c r="X122" i="1"/>
  <c r="AO142" i="1"/>
  <c r="AJ142" i="1"/>
  <c r="AJ143" i="1" s="1"/>
  <c r="T44" i="1"/>
  <c r="X113" i="1"/>
  <c r="Z113" i="1"/>
  <c r="Z142" i="1" s="1"/>
  <c r="Y142" i="1" s="1"/>
  <c r="X94" i="1"/>
  <c r="X116" i="1"/>
  <c r="H412" i="1"/>
  <c r="H142" i="1"/>
  <c r="J142" i="1" s="1"/>
  <c r="Z84" i="1"/>
  <c r="X50" i="1"/>
  <c r="AE34" i="1"/>
  <c r="X23" i="1"/>
  <c r="AK73" i="1"/>
  <c r="AK74" i="1" s="1"/>
  <c r="AO109" i="1"/>
  <c r="AR108" i="1"/>
  <c r="AK35" i="1"/>
  <c r="AM35" i="1" s="1"/>
  <c r="AM34" i="1"/>
  <c r="AI74" i="1"/>
  <c r="AO73" i="1"/>
  <c r="AO74" i="1" s="1"/>
  <c r="AJ73" i="1"/>
  <c r="AJ74" i="1" s="1"/>
  <c r="AP35" i="1"/>
  <c r="AR35" i="1" s="1"/>
  <c r="AR34" i="1"/>
  <c r="AN74" i="1"/>
  <c r="AJ109" i="1"/>
  <c r="AM109" i="1" s="1"/>
  <c r="AM108" i="1"/>
  <c r="AP73" i="1"/>
  <c r="AP74" i="1" s="1"/>
  <c r="Y34" i="1"/>
  <c r="X120" i="1"/>
  <c r="X89" i="1"/>
  <c r="X78" i="1"/>
  <c r="X82" i="1"/>
  <c r="T58" i="1"/>
  <c r="Z68" i="1"/>
  <c r="T48" i="1"/>
  <c r="J108" i="1"/>
  <c r="X69" i="1"/>
  <c r="X62" i="1"/>
  <c r="Z62" i="1"/>
  <c r="Z55" i="1"/>
  <c r="X55" i="1"/>
  <c r="Z79" i="1"/>
  <c r="X79" i="1"/>
  <c r="R9" i="1"/>
  <c r="U9" i="1" s="1"/>
  <c r="AG62" i="1"/>
  <c r="AF62" i="1" s="1"/>
  <c r="AF73" i="1" s="1"/>
  <c r="M73" i="1" s="1"/>
  <c r="X65" i="1"/>
  <c r="Z65" i="1"/>
  <c r="X85" i="1"/>
  <c r="Z85" i="1"/>
  <c r="AF76" i="1"/>
  <c r="W9" i="1" l="1"/>
  <c r="AE407" i="1"/>
  <c r="H407" i="1"/>
  <c r="H409" i="1" s="1"/>
  <c r="H415" i="1" s="1"/>
  <c r="AD11" i="1"/>
  <c r="AE11" i="1" s="1"/>
  <c r="AD10" i="1"/>
  <c r="AE10" i="1" s="1"/>
  <c r="L12" i="1"/>
  <c r="X11" i="1"/>
  <c r="AA11" i="1" s="1"/>
  <c r="W10" i="1"/>
  <c r="AF17" i="1"/>
  <c r="AF34" i="1" s="1"/>
  <c r="M34" i="1" s="1"/>
  <c r="AG108" i="1"/>
  <c r="AH108" i="1" s="1"/>
  <c r="AF108" i="1"/>
  <c r="M108" i="1" s="1"/>
  <c r="AR142" i="1"/>
  <c r="AG110" i="1"/>
  <c r="AF110" i="1" s="1"/>
  <c r="AF142" i="1" s="1"/>
  <c r="M142" i="1" s="1"/>
  <c r="AD9" i="1"/>
  <c r="AE9" i="1" s="1"/>
  <c r="AM143" i="1"/>
  <c r="AM142" i="1"/>
  <c r="Q142" i="1"/>
  <c r="AR73" i="1"/>
  <c r="AR74" i="1"/>
  <c r="AM73" i="1"/>
  <c r="AM74" i="1"/>
  <c r="AO143" i="1"/>
  <c r="AR143" i="1" s="1"/>
  <c r="AR109" i="1"/>
  <c r="Z108" i="1"/>
  <c r="Y108" i="1" s="1"/>
  <c r="Z73" i="1"/>
  <c r="AG73" i="1"/>
  <c r="AH73" i="1" s="1"/>
  <c r="X9" i="1" l="1"/>
  <c r="AA9" i="1" s="1"/>
  <c r="AC9" i="1" s="1"/>
  <c r="V12" i="1"/>
  <c r="X10" i="1"/>
  <c r="AA10" i="1" s="1"/>
  <c r="AC10" i="1" s="1"/>
  <c r="U12" i="1"/>
  <c r="AG142" i="1"/>
  <c r="AH142" i="1" s="1"/>
  <c r="AG407" i="1" s="1"/>
  <c r="H416" i="1" s="1"/>
  <c r="H414" i="1"/>
  <c r="Q73" i="1"/>
  <c r="Y73" i="1"/>
  <c r="Q108" i="1"/>
  <c r="AC11" i="1"/>
  <c r="Z407" i="1" l="1"/>
  <c r="Q407" i="1" s="1"/>
</calcChain>
</file>

<file path=xl/sharedStrings.xml><?xml version="1.0" encoding="utf-8"?>
<sst xmlns="http://schemas.openxmlformats.org/spreadsheetml/2006/main" count="2561" uniqueCount="1139">
  <si>
    <t>TAX</t>
  </si>
  <si>
    <t xml:space="preserve">PER </t>
  </si>
  <si>
    <t>NIGH</t>
  </si>
  <si>
    <t>MONTH</t>
  </si>
  <si>
    <t>EXTRA</t>
  </si>
  <si>
    <t xml:space="preserve"> PEOPLE</t>
  </si>
  <si>
    <t>TOTAL</t>
  </si>
  <si>
    <t xml:space="preserve"> BIKES</t>
  </si>
  <si>
    <t>POOL</t>
  </si>
  <si>
    <t>CLEAN</t>
  </si>
  <si>
    <t>BIKES</t>
  </si>
  <si>
    <t>PEOPLE</t>
  </si>
  <si>
    <t xml:space="preserve"> TAX</t>
  </si>
  <si>
    <t>July 1 to August 31</t>
  </si>
  <si>
    <t xml:space="preserve"> HEAT THE POOL 1=Y 0=N</t>
  </si>
  <si>
    <t>PAYPAL</t>
  </si>
  <si>
    <t>TOTAL INC</t>
  </si>
  <si>
    <t>NAME</t>
  </si>
  <si>
    <t>SITE</t>
  </si>
  <si>
    <t>DATES</t>
  </si>
  <si>
    <t>People</t>
  </si>
  <si>
    <t>RENT</t>
  </si>
  <si>
    <t>DEPOSIT</t>
  </si>
  <si>
    <t>BALANCE</t>
  </si>
  <si>
    <t>DUE</t>
  </si>
  <si>
    <t>A/D/F1/B/F2/T</t>
  </si>
  <si>
    <t>NET</t>
  </si>
  <si>
    <t>REPAIRS</t>
  </si>
  <si>
    <t>GREET</t>
  </si>
  <si>
    <t>NET NET</t>
  </si>
  <si>
    <t>HR</t>
  </si>
  <si>
    <t>19 Jun to 3 Jul</t>
  </si>
  <si>
    <t>5  inc 3 children 10,10 and 16</t>
  </si>
  <si>
    <r>
      <t xml:space="preserve">Clean </t>
    </r>
    <r>
      <rPr>
        <sz val="10"/>
        <color indexed="10"/>
        <rFont val="Verdana"/>
        <family val="2"/>
      </rPr>
      <t xml:space="preserve">ENTRY &amp; Exit </t>
    </r>
  </si>
  <si>
    <t>Now</t>
  </si>
  <si>
    <t>8 inc 2 children</t>
  </si>
  <si>
    <r>
      <t xml:space="preserve">Clean </t>
    </r>
    <r>
      <rPr>
        <sz val="10"/>
        <color indexed="10"/>
        <rFont val="Verdana"/>
        <family val="2"/>
      </rPr>
      <t>Exit ONLY</t>
    </r>
  </si>
  <si>
    <t>EMAIL</t>
  </si>
  <si>
    <t>Justin List</t>
  </si>
  <si>
    <t>28 July to 4 August</t>
  </si>
  <si>
    <t>4 Inc 2 children</t>
  </si>
  <si>
    <t>little_redhouse @ hotmail.com</t>
  </si>
  <si>
    <t>NA</t>
  </si>
  <si>
    <t xml:space="preserve"> Feb 25-11</t>
  </si>
  <si>
    <t>Dos Santos (no meet and greet)</t>
  </si>
  <si>
    <t>dagfinnh@gmail.com</t>
  </si>
  <si>
    <t>justinlist@me.com</t>
  </si>
  <si>
    <t>John Brezovsky</t>
  </si>
  <si>
    <t>johnnobonno@aol.com</t>
  </si>
  <si>
    <t>8 oct 15 oct</t>
  </si>
  <si>
    <t>j_helweg@hotmail.com</t>
  </si>
  <si>
    <t>Julie Helweg</t>
  </si>
  <si>
    <t>Heat</t>
  </si>
  <si>
    <t>Bikes</t>
  </si>
  <si>
    <t>Pool</t>
  </si>
  <si>
    <t>Y</t>
  </si>
  <si>
    <t>A/D/F1</t>
  </si>
  <si>
    <t>N</t>
  </si>
  <si>
    <t>Dagfinn Haakonsen</t>
  </si>
  <si>
    <t>Paul  Ward</t>
  </si>
  <si>
    <t>pgkward@gmail.com</t>
  </si>
  <si>
    <t>OD</t>
  </si>
  <si>
    <t>9 august to 22 August</t>
  </si>
  <si>
    <t>3 inc 1 child</t>
  </si>
  <si>
    <t>9 inc 4 children</t>
  </si>
  <si>
    <t>alijg76@yahoo.co.uk</t>
  </si>
  <si>
    <t>Apr 10-11</t>
  </si>
  <si>
    <t>Jul 5-10</t>
  </si>
  <si>
    <t>Nick Fister</t>
  </si>
  <si>
    <t>jnfister@yahoo.com</t>
  </si>
  <si>
    <t>Feb 01-11</t>
  </si>
  <si>
    <t>Linda Lyucett</t>
  </si>
  <si>
    <t>6 sep to 18 sep 2010</t>
  </si>
  <si>
    <t>lalycett@yahoo.co.uk</t>
  </si>
  <si>
    <t>4 inc 2 children</t>
  </si>
  <si>
    <t>Jul 12-10</t>
  </si>
  <si>
    <t xml:space="preserve">3 Inc 1 child </t>
  </si>
  <si>
    <t>Wendy Frost</t>
  </si>
  <si>
    <t>wendyfrost20@hotmail.com</t>
  </si>
  <si>
    <t>17 oct to  31 oct</t>
  </si>
  <si>
    <t>6 inc 2 children</t>
  </si>
  <si>
    <t>Aug 22-10</t>
  </si>
  <si>
    <t>Dos Santos</t>
  </si>
  <si>
    <t>3 Inc 1 child</t>
  </si>
  <si>
    <t>Dos  Santos</t>
  </si>
  <si>
    <t>greg cottingham</t>
  </si>
  <si>
    <t>Jan 15-11</t>
  </si>
  <si>
    <t>Al@Americansweets.co.uk</t>
  </si>
  <si>
    <t>Al Baker</t>
  </si>
  <si>
    <t>??</t>
  </si>
  <si>
    <t>3 incl 1 chikd</t>
  </si>
  <si>
    <t>27 Aug to 3 Sep</t>
  </si>
  <si>
    <t>Jul 15-10</t>
  </si>
  <si>
    <t>3 inc 1 children</t>
  </si>
  <si>
    <t>Aug 20-10</t>
  </si>
  <si>
    <t>ORIGINAL COSTS</t>
  </si>
  <si>
    <t>CLEAN EVERY 2 WEEKS + HOUSE WATCH</t>
  </si>
  <si>
    <t>blonde205@hotmail.com</t>
  </si>
  <si>
    <t>5 inc 3 children</t>
  </si>
  <si>
    <t>Smantha  Copple</t>
  </si>
  <si>
    <t>Neville Chesworth</t>
  </si>
  <si>
    <t>nevillechesworth@hotmail.com</t>
  </si>
  <si>
    <t>22 Nov to 29 Nov 2010</t>
  </si>
  <si>
    <t>2 inc 0 children</t>
  </si>
  <si>
    <t>Sept 27-10</t>
  </si>
  <si>
    <t>Annie Peryra</t>
  </si>
  <si>
    <t>Mar 6-11</t>
  </si>
  <si>
    <t xml:space="preserve">INTERIM CLEAN MAY 4 + Clean ON EXIT </t>
  </si>
  <si>
    <t>4 inc 0 children</t>
  </si>
  <si>
    <t>apereyra@optonline.net</t>
  </si>
  <si>
    <t>wnewsome@blueyonder.co.uk</t>
  </si>
  <si>
    <t>Wayne Newsome</t>
  </si>
  <si>
    <t>1  Oct to 8 Oct</t>
  </si>
  <si>
    <t>Aug 6-10</t>
  </si>
  <si>
    <t>ines1973@hotmail.co.uk</t>
  </si>
  <si>
    <t>Andy Colbridge</t>
  </si>
  <si>
    <t>6 Inc 2 Children</t>
  </si>
  <si>
    <t>May 14-11</t>
  </si>
  <si>
    <t>#</t>
  </si>
  <si>
    <t>Nights</t>
  </si>
  <si>
    <t>13 Nov to 19 Nov 10</t>
  </si>
  <si>
    <t>Weeks:</t>
  </si>
  <si>
    <t>Nights:</t>
  </si>
  <si>
    <t>A/D/F1/B/F2/T APPL TO NEXT YER</t>
  </si>
  <si>
    <t>colinrann5@yahoo.co.uk</t>
  </si>
  <si>
    <t xml:space="preserve"> PAY PAL 3.9%? 1=Y 0=N</t>
  </si>
  <si>
    <t>Sep 16-10</t>
  </si>
  <si>
    <t>4 Nov to 13 Nov</t>
  </si>
  <si>
    <t>20 Nov  to 21 Nov 2010</t>
  </si>
  <si>
    <t>Us Nights</t>
  </si>
  <si>
    <t>Us Weeks</t>
  </si>
  <si>
    <t>Rented Nights</t>
  </si>
  <si>
    <t>Rented Weeks</t>
  </si>
  <si>
    <t>D/A/F1/B/F2/RI/T</t>
  </si>
  <si>
    <t>Per week NET NET</t>
  </si>
  <si>
    <t>Jun-3-11</t>
  </si>
  <si>
    <t>daniel.cronin@hotmail.co.uk</t>
  </si>
  <si>
    <t>Daniel Cronin</t>
  </si>
  <si>
    <t>QUOTED</t>
  </si>
  <si>
    <t>BANK OR</t>
  </si>
  <si>
    <r>
      <t>BANK</t>
    </r>
    <r>
      <rPr>
        <b/>
        <sz val="18"/>
        <color indexed="10"/>
        <rFont val="Calibri"/>
        <family val="2"/>
      </rPr>
      <t xml:space="preserve"> OR</t>
    </r>
  </si>
  <si>
    <t>PER</t>
  </si>
  <si>
    <t>PERSON</t>
  </si>
  <si>
    <t>5 inc 1 child</t>
  </si>
  <si>
    <t>Collin Ran</t>
  </si>
  <si>
    <t>22 Sep to 29 Sep</t>
  </si>
  <si>
    <t>Martin Smith</t>
  </si>
  <si>
    <t>bastoad@hotmail.com</t>
  </si>
  <si>
    <t>Jul-28-11</t>
  </si>
  <si>
    <t>DISCOUNT</t>
  </si>
  <si>
    <t>BASE</t>
  </si>
  <si>
    <t>Rolland Lavallee</t>
  </si>
  <si>
    <t>ray.lavallee@verizon.net</t>
  </si>
  <si>
    <t>Dec 7-10</t>
  </si>
  <si>
    <t>toddbonin@hotmail.com</t>
  </si>
  <si>
    <t>OR</t>
  </si>
  <si>
    <t>NOW</t>
  </si>
  <si>
    <t>Karel Van Roten</t>
  </si>
  <si>
    <t>karel.van.roten@telenet.be</t>
  </si>
  <si>
    <t>18  Dec to 25 Dec 2010</t>
  </si>
  <si>
    <t>26 dec to 30 dec 2010</t>
  </si>
  <si>
    <t>Todd bonin</t>
  </si>
  <si>
    <t>A/D/F1/B/F2</t>
  </si>
  <si>
    <t>D/A/F1/B/F2/T</t>
  </si>
  <si>
    <t>DONE</t>
  </si>
  <si>
    <t>24 Jun to 8 Jul</t>
  </si>
  <si>
    <t>4 inc 1 child</t>
  </si>
  <si>
    <t>Apr 29-11</t>
  </si>
  <si>
    <t>laura_alice@hotmail.co.uk</t>
  </si>
  <si>
    <t>Graham Robson</t>
  </si>
  <si>
    <t>A/D/F1/B/F2/R/T</t>
  </si>
  <si>
    <t>A/D/F1/F2/T</t>
  </si>
  <si>
    <t>millmanjacqueline@hotmail.co.uk</t>
  </si>
  <si>
    <t>Jackie Milman</t>
  </si>
  <si>
    <t>1 Inc 0 children</t>
  </si>
  <si>
    <t>Dorothy Lyons</t>
  </si>
  <si>
    <t>dvlyons@charter.net</t>
  </si>
  <si>
    <t>19 Mar 25 Mar</t>
  </si>
  <si>
    <r>
      <t xml:space="preserve">5 Dec to </t>
    </r>
    <r>
      <rPr>
        <b/>
        <sz val="11"/>
        <color indexed="10"/>
        <rFont val="Calibri"/>
        <family val="2"/>
      </rPr>
      <t>16 dec</t>
    </r>
  </si>
  <si>
    <t>BANK</t>
  </si>
  <si>
    <t>FK</t>
  </si>
  <si>
    <t>Sabine.krumm08@yahoo.de</t>
  </si>
  <si>
    <t>Sabine Krumm</t>
  </si>
  <si>
    <t>17 Oct to 28 Oct</t>
  </si>
  <si>
    <t>6 inc 0 children</t>
  </si>
  <si>
    <t>Jul 18-11</t>
  </si>
  <si>
    <t>Stan Gill</t>
  </si>
  <si>
    <t>22 Nov 2 Dec</t>
  </si>
  <si>
    <t>3 Inc 1 Child</t>
  </si>
  <si>
    <t>31 May 15 Jun</t>
  </si>
  <si>
    <t>2 Inc 0 Children</t>
  </si>
  <si>
    <r>
      <t xml:space="preserve">Clean </t>
    </r>
    <r>
      <rPr>
        <sz val="10"/>
        <color indexed="10"/>
        <rFont val="Verdana"/>
        <family val="2"/>
      </rPr>
      <t xml:space="preserve">Exit </t>
    </r>
    <r>
      <rPr>
        <b/>
        <sz val="10"/>
        <color indexed="10"/>
        <rFont val="Verdana"/>
        <family val="2"/>
      </rPr>
      <t>FAST TURNAROUND</t>
    </r>
  </si>
  <si>
    <t>Annie Prreyra</t>
  </si>
  <si>
    <t>8 Mar to 12 Mar</t>
  </si>
  <si>
    <t>2 Sep to 16 Sep</t>
  </si>
  <si>
    <t>annejwalker52@yahoo.co.uk</t>
  </si>
  <si>
    <t>Anne Walker</t>
  </si>
  <si>
    <t>HL</t>
  </si>
  <si>
    <t>Jul-8-11</t>
  </si>
  <si>
    <t>stuart.reiken@lincfs.com</t>
  </si>
  <si>
    <t>Stuart reiken</t>
  </si>
  <si>
    <t>8 inc 4 children</t>
  </si>
  <si>
    <t xml:space="preserve"> </t>
  </si>
  <si>
    <t>Jun-18-11</t>
  </si>
  <si>
    <t>Judy Mullett</t>
  </si>
  <si>
    <t>jcerettmullett@hotmail.com</t>
  </si>
  <si>
    <t>17 Jun to 24 Jun</t>
  </si>
  <si>
    <t>4 Inc 3 Children</t>
  </si>
  <si>
    <t>Apr-22-11</t>
  </si>
  <si>
    <t>SCByersFamily@aol.com</t>
  </si>
  <si>
    <t>1 Mar to 15</t>
  </si>
  <si>
    <t>Jan 4-12</t>
  </si>
  <si>
    <t>johnparker@freezone.co.uk</t>
  </si>
  <si>
    <t>Sep 10-11</t>
  </si>
  <si>
    <t>Wks</t>
  </si>
  <si>
    <t>Rented Nights:</t>
  </si>
  <si>
    <t>Net Per Week:</t>
  </si>
  <si>
    <t>PRICE</t>
  </si>
  <si>
    <t>2009 OLD</t>
  </si>
  <si>
    <t>2008 VERY</t>
  </si>
  <si>
    <t>PRICES</t>
  </si>
  <si>
    <t>CURRENT WANTED</t>
  </si>
  <si>
    <t>AVERAGE:</t>
  </si>
  <si>
    <t>NONE</t>
  </si>
  <si>
    <t>INSERTABLE ROW</t>
  </si>
  <si>
    <t>TRANSFER</t>
  </si>
  <si>
    <t>CHARGE</t>
  </si>
  <si>
    <t>1=B 2=PP</t>
  </si>
  <si>
    <t xml:space="preserve">INTERIM CLEAN MAY 19 + Clean ON EXIT </t>
  </si>
  <si>
    <t>1 Jan 2011 to 28 Feb</t>
  </si>
  <si>
    <t>1 Mar to 8 mar</t>
  </si>
  <si>
    <t>12 Mar to 19 March</t>
  </si>
  <si>
    <t>25 Mar to 27 Mar</t>
  </si>
  <si>
    <t>29 Mar to 12 Apr</t>
  </si>
  <si>
    <t>15 April to 22 April</t>
  </si>
  <si>
    <t>22 April to 29 april</t>
  </si>
  <si>
    <t xml:space="preserve">1 May to 8 May </t>
  </si>
  <si>
    <t>9 May to29 May</t>
  </si>
  <si>
    <t>5 to 16 june</t>
  </si>
  <si>
    <t>9 Jul  to 16 Jul</t>
  </si>
  <si>
    <t>20 Jul to 29 Jul</t>
  </si>
  <si>
    <t>29 Jul to Aug 5</t>
  </si>
  <si>
    <t>13 Aug to 27 Aug</t>
  </si>
  <si>
    <t xml:space="preserve">7 oct to 10 oct </t>
  </si>
  <si>
    <t xml:space="preserve">26 dec to 31 dec </t>
  </si>
  <si>
    <t xml:space="preserve">1 Jan to 29 Feb </t>
  </si>
  <si>
    <t>5 Nov to 10 Nov</t>
  </si>
  <si>
    <t>10 Nov to 13 Nov</t>
  </si>
  <si>
    <t>TO BE</t>
  </si>
  <si>
    <t>WEB SITE</t>
  </si>
  <si>
    <t>Apr-5-12</t>
  </si>
  <si>
    <r>
      <t xml:space="preserve">3 inc 1 child </t>
    </r>
    <r>
      <rPr>
        <b/>
        <sz val="11"/>
        <color indexed="10"/>
        <rFont val="Calibri"/>
        <family val="2"/>
      </rPr>
      <t>(RC)</t>
    </r>
  </si>
  <si>
    <t xml:space="preserve"> Total </t>
  </si>
  <si>
    <t>WHEN ENTERING A NEW YEAR MANY HIDDEN COLUMNS AND FORMULAS MUST BE EDITED</t>
  </si>
  <si>
    <t>Still to come</t>
  </si>
  <si>
    <t>7 July to 22 July</t>
  </si>
  <si>
    <t>Alison Gibbons</t>
  </si>
  <si>
    <r>
      <t>8 Inc 2 children (</t>
    </r>
    <r>
      <rPr>
        <sz val="11"/>
        <color indexed="10"/>
        <rFont val="Calibri"/>
        <family val="2"/>
      </rPr>
      <t>Flex Guests</t>
    </r>
    <r>
      <rPr>
        <sz val="11"/>
        <color theme="1"/>
        <rFont val="Calibri"/>
        <family val="2"/>
        <scheme val="minor"/>
      </rPr>
      <t>)</t>
    </r>
  </si>
  <si>
    <t>Amanda &amp; john parker</t>
  </si>
  <si>
    <t>greg@cottingham.ca,  greg.cottingham@rogers.com</t>
  </si>
  <si>
    <t>A/D/F1/B/F2/RR/T</t>
  </si>
  <si>
    <t>dhill@williamblair.com</t>
  </si>
  <si>
    <t>6 Aug to 13 Aug</t>
  </si>
  <si>
    <t>y</t>
  </si>
  <si>
    <t>Jun-11-11</t>
  </si>
  <si>
    <t>Joanna Boughey</t>
  </si>
  <si>
    <t>joanna_boughey@hotmail.com</t>
  </si>
  <si>
    <t>Mar 31 to 7 Apr</t>
  </si>
  <si>
    <t>Feb 4-12</t>
  </si>
  <si>
    <t>JoAnn Marchant</t>
  </si>
  <si>
    <t>13 Nov to 20 Nov</t>
  </si>
  <si>
    <t>Sep 18-11</t>
  </si>
  <si>
    <t>randi222@roadrunner.com petermarchant@me.com</t>
  </si>
  <si>
    <t>lounduncs@me.com </t>
  </si>
  <si>
    <t>20 Dec to 26 Dec</t>
  </si>
  <si>
    <t>9 Inc 3 Children</t>
  </si>
  <si>
    <t>masterslmm@yahoo.co.uk</t>
  </si>
  <si>
    <r>
      <t>Louise Bull</t>
    </r>
    <r>
      <rPr>
        <sz val="11"/>
        <color indexed="10"/>
        <rFont val="Calibri"/>
        <family val="2"/>
      </rPr>
      <t xml:space="preserve"> NEEDS ADD POOL RELEASES</t>
    </r>
  </si>
  <si>
    <t>Na</t>
  </si>
  <si>
    <t>D/A/F1/B/F2/RR/T</t>
  </si>
  <si>
    <t>Sarah Robertson</t>
  </si>
  <si>
    <t>robertson.sarah@talktalk.net</t>
  </si>
  <si>
    <t>12 Dec 20 Dec</t>
  </si>
  <si>
    <t>17-Oc</t>
  </si>
  <si>
    <t>Louise Masters</t>
  </si>
  <si>
    <t>Apr 7 to Apr 13</t>
  </si>
  <si>
    <t>Feb 11-12</t>
  </si>
  <si>
    <t>Brian Reid</t>
  </si>
  <si>
    <t>brian.reid@pcbank.ca</t>
  </si>
  <si>
    <t>21 Jul to 4 Aug</t>
  </si>
  <si>
    <t>May 26-12</t>
  </si>
  <si>
    <t>21 Nov to 25 Nov</t>
  </si>
  <si>
    <t>26 dec to 30 dec 2012</t>
  </si>
  <si>
    <t>jackoneill2@hotmail.com</t>
  </si>
  <si>
    <t>29 Oct to 5 Nov</t>
  </si>
  <si>
    <t>jacqueline fahy O'neil</t>
  </si>
  <si>
    <t>conny.elisabeth@tele2.se</t>
  </si>
  <si>
    <t>Mar-10-12</t>
  </si>
  <si>
    <t>Elisabeth O Conny</t>
  </si>
  <si>
    <t>Apr 21 to May 5</t>
  </si>
  <si>
    <r>
      <t>6 Inc 2 children</t>
    </r>
    <r>
      <rPr>
        <b/>
        <sz val="11"/>
        <color indexed="10"/>
        <rFont val="Calibri"/>
        <family val="2"/>
      </rPr>
      <t xml:space="preserve"> (RC)</t>
    </r>
  </si>
  <si>
    <t>Feb 25-12</t>
  </si>
  <si>
    <t>Apr-20-12</t>
  </si>
  <si>
    <t>Ken Faulkner</t>
  </si>
  <si>
    <t>lightingforyou1@aol.com</t>
  </si>
  <si>
    <t>10 May to 26 May</t>
  </si>
  <si>
    <t>Mar 15-13</t>
  </si>
  <si>
    <t>Hugh Matson</t>
  </si>
  <si>
    <t>hughjmatson@aol.com</t>
  </si>
  <si>
    <t>2 Sep to 15 Sep</t>
  </si>
  <si>
    <t>Jul  8-12</t>
  </si>
  <si>
    <t>gary.twells@ntlworld.com</t>
  </si>
  <si>
    <t>Gary Wells</t>
  </si>
  <si>
    <t>29 Oct to 15 Nov</t>
  </si>
  <si>
    <t>Sep 3-12</t>
  </si>
  <si>
    <t>Apr 13 to Apr 21</t>
  </si>
  <si>
    <t>Jun-10-12</t>
  </si>
  <si>
    <t>Marianne Meijer</t>
  </si>
  <si>
    <t>18 to 26 Oct 2012</t>
  </si>
  <si>
    <t>Aug 23-12</t>
  </si>
  <si>
    <t>4 Aug to 19 Aug</t>
  </si>
  <si>
    <r>
      <t xml:space="preserve">Scott Byers </t>
    </r>
    <r>
      <rPr>
        <b/>
        <sz val="11"/>
        <color rgb="FFFF0000"/>
        <rFont val="Calibri"/>
        <family val="2"/>
        <scheme val="minor"/>
      </rPr>
      <t>(LATE &gt;3PM CHECKOUT)</t>
    </r>
  </si>
  <si>
    <r>
      <t>A/D/F1/B/F2/FI/</t>
    </r>
    <r>
      <rPr>
        <sz val="11"/>
        <color rgb="FFFF0000"/>
        <rFont val="Calibri"/>
        <family val="2"/>
        <scheme val="minor"/>
      </rPr>
      <t>RR/</t>
    </r>
    <r>
      <rPr>
        <sz val="11"/>
        <rFont val="Calibri"/>
        <family val="2"/>
        <scheme val="minor"/>
      </rPr>
      <t>T</t>
    </r>
  </si>
  <si>
    <r>
      <t>A/D/F1-</t>
    </r>
    <r>
      <rPr>
        <b/>
        <sz val="11"/>
        <color rgb="FFFF0000"/>
        <rFont val="Calibri"/>
        <family val="2"/>
        <scheme val="minor"/>
      </rPr>
      <t>CANCELED AND REFUNDED</t>
    </r>
  </si>
  <si>
    <t>wimmer@kastl-kollegen.com</t>
  </si>
  <si>
    <t>6 inc 4 children</t>
  </si>
  <si>
    <t>June-17-12</t>
  </si>
  <si>
    <r>
      <t>A/D/F1/B/F2/FI//</t>
    </r>
    <r>
      <rPr>
        <sz val="11"/>
        <color rgb="FFFF0000"/>
        <rFont val="Calibri"/>
        <family val="2"/>
        <scheme val="minor"/>
      </rPr>
      <t>RR</t>
    </r>
    <r>
      <rPr>
        <sz val="11"/>
        <rFont val="Calibri"/>
        <family val="2"/>
        <scheme val="minor"/>
      </rPr>
      <t>/T</t>
    </r>
  </si>
  <si>
    <r>
      <t>A/D/F1/B/F2/FF</t>
    </r>
    <r>
      <rPr>
        <sz val="11"/>
        <color rgb="FFFF0000"/>
        <rFont val="Calibri"/>
        <family val="2"/>
        <scheme val="minor"/>
      </rPr>
      <t>/RR</t>
    </r>
    <r>
      <rPr>
        <sz val="11"/>
        <color theme="1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>T/SR/</t>
    </r>
  </si>
  <si>
    <t>2 Dec to 12 Dec</t>
  </si>
  <si>
    <r>
      <t>Alison Gibbons</t>
    </r>
    <r>
      <rPr>
        <b/>
        <sz val="11"/>
        <color rgb="FFFF0000"/>
        <rFont val="Calibri"/>
        <family val="2"/>
        <scheme val="minor"/>
      </rPr>
      <t xml:space="preserve"> (RETURN CLIENT)</t>
    </r>
  </si>
  <si>
    <r>
      <t xml:space="preserve">Darrell Hill  </t>
    </r>
    <r>
      <rPr>
        <sz val="11"/>
        <color indexed="10"/>
        <rFont val="Calibri"/>
        <family val="2"/>
      </rPr>
      <t xml:space="preserve">Canceled </t>
    </r>
  </si>
  <si>
    <t xml:space="preserve"> remeijer@ziggo.nl &lt;-----------   That is the pay pal one info@babymoonandco.nl</t>
  </si>
  <si>
    <r>
      <t>Johann Wimmer (</t>
    </r>
    <r>
      <rPr>
        <sz val="11"/>
        <color rgb="FFFF0000"/>
        <rFont val="Calibri"/>
        <family val="2"/>
        <scheme val="minor"/>
      </rPr>
      <t>LEAVING LATE CLEAN NEXT DAY</t>
    </r>
    <r>
      <rPr>
        <sz val="11"/>
        <color theme="1"/>
        <rFont val="Calibri"/>
        <family val="2"/>
        <scheme val="minor"/>
      </rPr>
      <t>)</t>
    </r>
  </si>
  <si>
    <r>
      <t xml:space="preserve">19 Aug to </t>
    </r>
    <r>
      <rPr>
        <b/>
        <sz val="11"/>
        <color rgb="FFFF0000"/>
        <rFont val="Calibri"/>
        <family val="2"/>
        <scheme val="minor"/>
      </rPr>
      <t>1 Sep</t>
    </r>
  </si>
  <si>
    <t>A/D/F1/B/F2/FI/REC/RR/T</t>
  </si>
  <si>
    <t>7 Inc 0 Children</t>
  </si>
  <si>
    <t>Apr-28-12</t>
  </si>
  <si>
    <t>barbhawkins1@gmail.com PAYPAL agstudley@aol.com</t>
  </si>
  <si>
    <t>Current</t>
  </si>
  <si>
    <t>To be imputed to web sites</t>
  </si>
  <si>
    <t>Next action</t>
  </si>
  <si>
    <t>Immediate action expected</t>
  </si>
  <si>
    <t>A/D/F1/B/F2/REC/FI/REQUESTED BANK INFO</t>
  </si>
  <si>
    <t>Michael Petronko</t>
  </si>
  <si>
    <t>mpetronk@rci.rutgers.edu</t>
  </si>
  <si>
    <t>16 March to 30 March</t>
  </si>
  <si>
    <t>7 including 3 children</t>
  </si>
  <si>
    <t>Jan 20-12</t>
  </si>
  <si>
    <t>ros_stan@btinternet.com stan@gill54.fsworld.co.uk</t>
  </si>
  <si>
    <t>Awaiting rev to do transfer</t>
  </si>
  <si>
    <t>A/D/F1/B/F2/REC/FI/RR/T</t>
  </si>
  <si>
    <t>Collier</t>
  </si>
  <si>
    <t>Florida</t>
  </si>
  <si>
    <t>Quarter</t>
  </si>
  <si>
    <t>1-2-3-4</t>
  </si>
  <si>
    <t>Q1</t>
  </si>
  <si>
    <t>Q2</t>
  </si>
  <si>
    <t>Q3</t>
  </si>
  <si>
    <t>Q4</t>
  </si>
  <si>
    <t xml:space="preserve">Barb Hawkins </t>
  </si>
  <si>
    <t>Angela Taibi</t>
  </si>
  <si>
    <t>t.taibi@btinternet.com</t>
  </si>
  <si>
    <t>7 inc 3 children</t>
  </si>
  <si>
    <t>Feb 3-13</t>
  </si>
  <si>
    <r>
      <t>5 inc 1 child</t>
    </r>
    <r>
      <rPr>
        <b/>
        <sz val="11"/>
        <color rgb="FFFF0000"/>
        <rFont val="Calibri"/>
        <family val="2"/>
        <scheme val="minor"/>
      </rPr>
      <t xml:space="preserve"> (RC)</t>
    </r>
  </si>
  <si>
    <t>A/D/F2/B/DONE/REC/FI/T</t>
  </si>
  <si>
    <t>7 Jul to 21 Jul</t>
  </si>
  <si>
    <t>Tammy Wright</t>
  </si>
  <si>
    <t>twright@williams.edu</t>
  </si>
  <si>
    <t>HA</t>
  </si>
  <si>
    <t>30 Jun to 7 Jul</t>
  </si>
  <si>
    <t>May-4-12</t>
  </si>
  <si>
    <t>15 June to 23 June</t>
  </si>
  <si>
    <r>
      <t>Judy Cerett Mullett</t>
    </r>
    <r>
      <rPr>
        <sz val="11"/>
        <color rgb="FFFF0000"/>
        <rFont val="Calibri"/>
        <family val="2"/>
        <scheme val="minor"/>
      </rPr>
      <t xml:space="preserve">  (RETURN CLIENT)</t>
    </r>
  </si>
  <si>
    <t>Christine Euesden</t>
  </si>
  <si>
    <t>17 Sep to 24 Sep</t>
  </si>
  <si>
    <t>Jul-23-12</t>
  </si>
  <si>
    <t>6 inc visitors</t>
  </si>
  <si>
    <t>15 Mar to 25 Mar</t>
  </si>
  <si>
    <t>Joshuadalley@hotmail.com</t>
  </si>
  <si>
    <t>christine_euesden@hotmail.co.uk  FOR PAYPAL USE: neil.euesden@pinnacle-psg.com</t>
  </si>
  <si>
    <t>Jan-17-13</t>
  </si>
  <si>
    <t>12 Apr to 21 Apr</t>
  </si>
  <si>
    <r>
      <t xml:space="preserve">Paul  Ward </t>
    </r>
    <r>
      <rPr>
        <sz val="11"/>
        <color rgb="FFFF0000"/>
        <rFont val="Calibri"/>
        <family val="2"/>
        <scheme val="minor"/>
      </rPr>
      <t xml:space="preserve"> (RETURN CLIENT)</t>
    </r>
  </si>
  <si>
    <r>
      <t xml:space="preserve">Nick Fister </t>
    </r>
    <r>
      <rPr>
        <sz val="11"/>
        <color rgb="FFFF0000"/>
        <rFont val="Calibri"/>
        <family val="2"/>
      </rPr>
      <t>(RETURN CLIENT)</t>
    </r>
  </si>
  <si>
    <r>
      <t xml:space="preserve">6 Inc 4 Children </t>
    </r>
    <r>
      <rPr>
        <b/>
        <sz val="11"/>
        <color rgb="FFFF0000"/>
        <rFont val="Calibri"/>
        <family val="2"/>
        <scheme val="minor"/>
      </rPr>
      <t>(RC)</t>
    </r>
  </si>
  <si>
    <r>
      <t xml:space="preserve">Clean </t>
    </r>
    <r>
      <rPr>
        <sz val="10"/>
        <color indexed="10"/>
        <rFont val="Verdana"/>
        <family val="2"/>
      </rPr>
      <t>Every 2 weeks</t>
    </r>
  </si>
  <si>
    <t>A/D/F1/B/F2/REC/FI/T</t>
  </si>
  <si>
    <t>9 to 18 Oct</t>
  </si>
  <si>
    <t>10 inc 2 children</t>
  </si>
  <si>
    <t>Aug-14-12</t>
  </si>
  <si>
    <t>Pauline Reale Sabino</t>
  </si>
  <si>
    <t>pauline.reale@gmail.com for PayPal -&gt; reale@metrocast.net  Emanuel Reale</t>
  </si>
  <si>
    <t>Clean Exit ONLY</t>
  </si>
  <si>
    <r>
      <rPr>
        <b/>
        <sz val="11"/>
        <color rgb="FFFF0000"/>
        <rFont val="Calibri"/>
        <family val="2"/>
        <scheme val="minor"/>
      </rPr>
      <t>23</t>
    </r>
    <r>
      <rPr>
        <sz val="11"/>
        <color theme="1"/>
        <rFont val="Calibri"/>
        <family val="2"/>
        <scheme val="minor"/>
      </rPr>
      <t xml:space="preserve"> May 28 May</t>
    </r>
  </si>
  <si>
    <t>Andrew Zura</t>
  </si>
  <si>
    <t>zuraa@ccf.org</t>
  </si>
  <si>
    <r>
      <t>18 to 23 Dec</t>
    </r>
    <r>
      <rPr>
        <b/>
        <sz val="11"/>
        <color rgb="FFFF0000"/>
        <rFont val="Calibri"/>
        <family val="2"/>
        <scheme val="minor"/>
      </rPr>
      <t xml:space="preserve"> LEAVING LATE 5PM</t>
    </r>
  </si>
  <si>
    <t>5 inc 2 children</t>
  </si>
  <si>
    <t>Oct-23-12</t>
  </si>
  <si>
    <t>5 inc 0 children</t>
  </si>
  <si>
    <r>
      <t>5 May 19 May</t>
    </r>
    <r>
      <rPr>
        <b/>
        <sz val="11"/>
        <color rgb="FFFF0000"/>
        <rFont val="Calibri"/>
        <family val="2"/>
        <scheme val="minor"/>
      </rPr>
      <t xml:space="preserve"> WAITING REVIEW</t>
    </r>
  </si>
  <si>
    <t>5 Mar to 15 Mar</t>
  </si>
  <si>
    <t>Marc Tocatlian</t>
  </si>
  <si>
    <t>Marc.TOCATLIAN@oecd.org</t>
  </si>
  <si>
    <t>Jan-8-13</t>
  </si>
  <si>
    <t>Adam Howell</t>
  </si>
  <si>
    <t>adam.n.portia@juno.com</t>
  </si>
  <si>
    <r>
      <t xml:space="preserve">9 to 18 Dec  </t>
    </r>
    <r>
      <rPr>
        <b/>
        <sz val="11"/>
        <color rgb="FFFF0000"/>
        <rFont val="Calibri"/>
        <family val="2"/>
        <scheme val="minor"/>
      </rPr>
      <t>MUST ARRANGE 1 DOZEN RED + 1 DOZEN YELLOW ROSES IN VASES + 1 BOTTLE CHAMPAGN</t>
    </r>
  </si>
  <si>
    <t>Oct-14-12</t>
  </si>
  <si>
    <t>5 Apr to 19 Apr</t>
  </si>
  <si>
    <t>Nov 26 to Dec 1</t>
  </si>
  <si>
    <t>9 inc 3 children</t>
  </si>
  <si>
    <t>bruijs@caiw.nl</t>
  </si>
  <si>
    <t xml:space="preserve">Joop Bruijstens </t>
  </si>
  <si>
    <t>Mar 8-13</t>
  </si>
  <si>
    <t>D/A/F1/B/F2/RR/Eater failed send back + 100</t>
  </si>
  <si>
    <r>
      <t xml:space="preserve">23 Jun to 30 Jun </t>
    </r>
    <r>
      <rPr>
        <b/>
        <sz val="11"/>
        <color rgb="FFFF0000"/>
        <rFont val="Calibri"/>
        <family val="2"/>
        <scheme val="minor"/>
      </rPr>
      <t>WAITING REVIEW</t>
    </r>
  </si>
  <si>
    <t>goldenhonie@sbcglobal.net</t>
  </si>
  <si>
    <t>Deanna Golden</t>
  </si>
  <si>
    <t>Mar 8 to Mar 15</t>
  </si>
  <si>
    <r>
      <t>A/D/F1/B/F2/</t>
    </r>
    <r>
      <rPr>
        <sz val="11"/>
        <color rgb="FFFF0000"/>
        <rFont val="Calibri"/>
        <family val="2"/>
        <scheme val="minor"/>
      </rPr>
      <t>RR</t>
    </r>
    <r>
      <rPr>
        <sz val="11"/>
        <color theme="1"/>
        <rFont val="Calibri"/>
        <family val="2"/>
        <scheme val="minor"/>
      </rPr>
      <t>/T</t>
    </r>
  </si>
  <si>
    <t>26 Oct to 28 Oct</t>
  </si>
  <si>
    <r>
      <t>15 Sep to 17 Sep</t>
    </r>
    <r>
      <rPr>
        <b/>
        <sz val="11"/>
        <color rgb="FFFF0000"/>
        <rFont val="Calibri"/>
        <family val="2"/>
        <scheme val="minor"/>
      </rPr>
      <t xml:space="preserve"> (ARRIVING 10AM SATYING ON THE BOAT THE NIGHT BEFORE)</t>
    </r>
  </si>
  <si>
    <t>Edward Peery</t>
  </si>
  <si>
    <t>edward.peery@gmail.com</t>
  </si>
  <si>
    <t>June 2 to June 16</t>
  </si>
  <si>
    <t>Jean armstrong</t>
  </si>
  <si>
    <t>armstrongjean52@yahoo.co.uk</t>
  </si>
  <si>
    <t>24 Apr to 1 May</t>
  </si>
  <si>
    <t>Feb 27-13</t>
  </si>
  <si>
    <t xml:space="preserve">Carlos &amp; Sarah Pereira </t>
  </si>
  <si>
    <t>25 Nov to Dec 8</t>
  </si>
  <si>
    <t>3 inc 0 children</t>
  </si>
  <si>
    <r>
      <t>1 to 8 oct 2012</t>
    </r>
    <r>
      <rPr>
        <b/>
        <sz val="11"/>
        <color rgb="FFFF0000"/>
        <rFont val="Calibri"/>
        <family val="2"/>
        <scheme val="minor"/>
      </rPr>
      <t xml:space="preserve"> (THIS IS A CHANGE)</t>
    </r>
  </si>
  <si>
    <t>Nightly</t>
  </si>
  <si>
    <t>28 feb to 2 mar</t>
  </si>
  <si>
    <t>na</t>
  </si>
  <si>
    <r>
      <t xml:space="preserve">May 26 to June 2 </t>
    </r>
    <r>
      <rPr>
        <sz val="11"/>
        <color rgb="FFFF0000"/>
        <rFont val="Calibri"/>
        <family val="2"/>
        <scheme val="minor"/>
      </rPr>
      <t>(Paul May  26 Dag and Jason May 30)</t>
    </r>
  </si>
  <si>
    <r>
      <t xml:space="preserve">1 Jan to 28 Feb </t>
    </r>
    <r>
      <rPr>
        <sz val="11"/>
        <color rgb="FFFF0000"/>
        <rFont val="Calibri"/>
        <family val="2"/>
        <scheme val="minor"/>
      </rPr>
      <t>(us 3 Jan to 5 Jan, 17 Jan to 20 Jan 31 Jan to 2 Feb 14 Feb to 23 Feb )</t>
    </r>
  </si>
  <si>
    <t>Eddie Malinowski</t>
  </si>
  <si>
    <t>eddiemfsk@hotmail.com</t>
  </si>
  <si>
    <t>INT</t>
  </si>
  <si>
    <t>2 Aug to 9 Aug</t>
  </si>
  <si>
    <t>may-31-14</t>
  </si>
  <si>
    <t>Rebecca Rogers</t>
  </si>
  <si>
    <t>rebeccasbakery@yahoo.com</t>
  </si>
  <si>
    <t xml:space="preserve">A/D/F1/B/F2/RR/T </t>
  </si>
  <si>
    <t>Helen Poxon</t>
  </si>
  <si>
    <t>glynpoxon@btinternet.com</t>
  </si>
  <si>
    <t>Jul 3 to July 13</t>
  </si>
  <si>
    <t>6 inc 6 teens</t>
  </si>
  <si>
    <t>May-8-13</t>
  </si>
  <si>
    <t xml:space="preserve">brianrfc@rogers.com </t>
  </si>
  <si>
    <t>Jul 13 to July 27</t>
  </si>
  <si>
    <t>May-10-13</t>
  </si>
  <si>
    <t xml:space="preserve">Michael Graham </t>
  </si>
  <si>
    <t>grahamm@ada.org</t>
  </si>
  <si>
    <t>15 Nov to 20 Nov</t>
  </si>
  <si>
    <t>Sep-20-12</t>
  </si>
  <si>
    <r>
      <t>A/D/F1/B/F2/</t>
    </r>
    <r>
      <rPr>
        <b/>
        <sz val="11"/>
        <color rgb="FFFF0000"/>
        <rFont val="Calibri"/>
        <family val="2"/>
        <scheme val="minor"/>
      </rPr>
      <t>RRASSHOLE/T</t>
    </r>
  </si>
  <si>
    <t>Pat Bush</t>
  </si>
  <si>
    <t>Aug 31 to Sep 28</t>
  </si>
  <si>
    <t>Jul-6-13</t>
  </si>
  <si>
    <t>pat.bush1@ntlworld.com</t>
  </si>
  <si>
    <r>
      <t xml:space="preserve">24 Sep to 1 Oct </t>
    </r>
    <r>
      <rPr>
        <b/>
        <sz val="11"/>
        <color rgb="FFFF0000"/>
        <rFont val="Calibri"/>
        <family val="2"/>
        <scheme val="minor"/>
      </rPr>
      <t>(CLEAN AT EXACTLY 10 AM AS THEY WANT TO LINGER AND I NEED TO MOVE IN.)</t>
    </r>
  </si>
  <si>
    <t>A/D/F1/B/F2/REC/RR/T</t>
  </si>
  <si>
    <t>Mandy Maloney</t>
  </si>
  <si>
    <t>mandymaloney@talktalk.net</t>
  </si>
  <si>
    <t>June 16 to June 30</t>
  </si>
  <si>
    <t>Apr-21-13</t>
  </si>
  <si>
    <t>Us</t>
  </si>
  <si>
    <t>April-7-13</t>
  </si>
  <si>
    <t>A/D/B/F2/REC/FI/RR/T Info</t>
  </si>
  <si>
    <r>
      <t>A/D/F1/B/F2/REC/FI/RR/</t>
    </r>
    <r>
      <rPr>
        <sz val="11"/>
        <color rgb="FFFF0000"/>
        <rFont val="Calibri"/>
        <family val="2"/>
        <scheme val="minor"/>
      </rPr>
      <t>T</t>
    </r>
  </si>
  <si>
    <t>1 Mar to 3 mar</t>
  </si>
  <si>
    <t>1 Jan to 28 Feb (us 1-4 to 1-6  &amp; 1-18 to 21… BUT DAG 1-19 to 1-20 &amp; 2-1 to 2-3 &amp; 2-15 to 24)</t>
  </si>
  <si>
    <r>
      <rPr>
        <b/>
        <sz val="11"/>
        <color rgb="FFFF0000"/>
        <rFont val="Calibri"/>
        <family val="2"/>
        <scheme val="minor"/>
      </rPr>
      <t>24 March BOAT then</t>
    </r>
    <r>
      <rPr>
        <sz val="11"/>
        <color theme="1"/>
        <rFont val="Calibri"/>
        <family val="2"/>
        <scheme val="minor"/>
      </rPr>
      <t xml:space="preserve"> 25 Marc to 31 Mar </t>
    </r>
    <r>
      <rPr>
        <sz val="11"/>
        <color rgb="FFFF0000"/>
        <rFont val="Calibri"/>
        <family val="2"/>
        <scheme val="minor"/>
      </rPr>
      <t>(Paul&amp; Jason) BUT DAG is  Mar 28  Dag  Mar31</t>
    </r>
  </si>
  <si>
    <t>We</t>
  </si>
  <si>
    <t>Were</t>
  </si>
  <si>
    <t>A/D/F1/B/F2/REC/FI/T/RR</t>
  </si>
  <si>
    <t>A/D/F1/B/F2/RR/INFO</t>
  </si>
  <si>
    <t>Christina Jansen</t>
  </si>
  <si>
    <t xml:space="preserve">csauermann@yahoo.de </t>
  </si>
  <si>
    <t>Nov 9 to Nov 16</t>
  </si>
  <si>
    <t>Sep-14-13</t>
  </si>
  <si>
    <t>A/D/F1/B/F2/Y/RR</t>
  </si>
  <si>
    <r>
      <t>31 Mar to 11  Apr  (</t>
    </r>
    <r>
      <rPr>
        <b/>
        <sz val="11"/>
        <color rgb="FFFF0000"/>
        <rFont val="Calibri"/>
        <family val="2"/>
        <scheme val="minor"/>
      </rPr>
      <t>leaving Late, clean aftyer 4PM or the next morning</t>
    </r>
    <r>
      <rPr>
        <sz val="11"/>
        <color theme="1"/>
        <rFont val="Calibri"/>
        <family val="2"/>
        <scheme val="minor"/>
      </rPr>
      <t>)</t>
    </r>
  </si>
  <si>
    <t xml:space="preserve">Nancy Collantine </t>
  </si>
  <si>
    <t>Jun-29-13</t>
  </si>
  <si>
    <t>Aug 24, to Aug 31</t>
  </si>
  <si>
    <t>Tina Millard</t>
  </si>
  <si>
    <t>Tinakappes@googlemail.com</t>
  </si>
  <si>
    <t>Oct 26 to Nov 9</t>
  </si>
  <si>
    <t>Aug-31-13</t>
  </si>
  <si>
    <t>GRAHAM OAKDEN</t>
  </si>
  <si>
    <t>OAKDENL@AOL.COM</t>
  </si>
  <si>
    <t>Mar 15 to Mar 22</t>
  </si>
  <si>
    <t>4 to 6 inc 0 children</t>
  </si>
  <si>
    <t>LJ Keyte</t>
  </si>
  <si>
    <t>ljkeyte@gmail.com --&gt; for pay pal us --&gt; rkeyte@tiscali.co.uk</t>
  </si>
  <si>
    <t>BT</t>
  </si>
  <si>
    <t>17 Aug to 24 Aug</t>
  </si>
  <si>
    <t>6 inc ?? Children</t>
  </si>
  <si>
    <t>Jun-22-13</t>
  </si>
  <si>
    <t>Elizabeth Ricke</t>
  </si>
  <si>
    <t>puppyma3@yahoo.com</t>
  </si>
  <si>
    <t>Oct 19, to Oc 26</t>
  </si>
  <si>
    <t>Aug-24-13</t>
  </si>
  <si>
    <t>May 22 to May 25</t>
  </si>
  <si>
    <t>13 March to 22 March</t>
  </si>
  <si>
    <t>Helena Tritchew</t>
  </si>
  <si>
    <t>tritchh@bell.net</t>
  </si>
  <si>
    <t>Jan-22-15</t>
  </si>
  <si>
    <t>Aug-6-13</t>
  </si>
  <si>
    <t>2 + 2 visitors</t>
  </si>
  <si>
    <t>Oct 1 to Oct 8 2013</t>
  </si>
  <si>
    <t>Dee Rosco</t>
  </si>
  <si>
    <t>utahdeer45@yahoo.com</t>
  </si>
  <si>
    <t>26 Jul but at the house only 27 Jul to 17 August ARRIVING EARLY STAYING ON BOAT NIGHT BEFORE TAKING BRIAN REID AND FAM ON CRUISE</t>
  </si>
  <si>
    <t>Sep 4 to Sep 12</t>
  </si>
  <si>
    <t>Jul-10-14</t>
  </si>
  <si>
    <t>Linda Godden</t>
  </si>
  <si>
    <t>Lindag@lakeland.ws</t>
  </si>
  <si>
    <t xml:space="preserve">Dec 10-17 </t>
  </si>
  <si>
    <t>6 Inc 2 children</t>
  </si>
  <si>
    <t>Oct-15-13</t>
  </si>
  <si>
    <t>A/D/F1/B/F2/REC/T/RR</t>
  </si>
  <si>
    <t>Bernadette Walsh</t>
  </si>
  <si>
    <t>Bandjwalsh@gmail.com</t>
  </si>
  <si>
    <t>Nov 16 to Nov 23</t>
  </si>
  <si>
    <t>Sep-21-13</t>
  </si>
  <si>
    <r>
      <t>Josh Dalley</t>
    </r>
    <r>
      <rPr>
        <b/>
        <sz val="11"/>
        <color rgb="FFFF0000"/>
        <rFont val="Calibri"/>
        <family val="2"/>
        <scheme val="minor"/>
      </rPr>
      <t>(PIGS!!!  DO NOT ALLOW BACK))</t>
    </r>
  </si>
  <si>
    <t>A/D/F1/B/F2/REC/T</t>
  </si>
  <si>
    <r>
      <t>Mar 21 (on the boat) leave Mar 23 AT 5PM (</t>
    </r>
    <r>
      <rPr>
        <sz val="11"/>
        <color rgb="FFFF0000"/>
        <rFont val="Calibri"/>
        <family val="2"/>
        <scheme val="minor"/>
      </rPr>
      <t>guets know they are not ot arrive before 5PM</t>
    </r>
    <r>
      <rPr>
        <sz val="11"/>
        <color theme="1"/>
        <rFont val="Calibri"/>
        <family val="2"/>
        <scheme val="minor"/>
      </rPr>
      <t>)</t>
    </r>
  </si>
  <si>
    <r>
      <t>Dos Santos</t>
    </r>
    <r>
      <rPr>
        <sz val="11"/>
        <color rgb="FFFF0000"/>
        <rFont val="Calibri"/>
        <family val="2"/>
      </rPr>
      <t xml:space="preserve"> (BOAT)</t>
    </r>
  </si>
  <si>
    <r>
      <t xml:space="preserve">Dos Santos </t>
    </r>
    <r>
      <rPr>
        <sz val="11"/>
        <color rgb="FFFF0000"/>
        <rFont val="Calibri"/>
        <family val="2"/>
      </rPr>
      <t>(BOAT)</t>
    </r>
  </si>
  <si>
    <r>
      <t>3 inc 1 child</t>
    </r>
    <r>
      <rPr>
        <b/>
        <sz val="11"/>
        <color rgb="FFFF0000"/>
        <rFont val="Calibri"/>
        <family val="2"/>
        <scheme val="minor"/>
      </rPr>
      <t xml:space="preserve"> (RC)</t>
    </r>
  </si>
  <si>
    <t>Barbara Erwin</t>
  </si>
  <si>
    <t>babswin22@gmail.com</t>
  </si>
  <si>
    <t>Mar 23 to April 5</t>
  </si>
  <si>
    <r>
      <t xml:space="preserve">Paul  Ward </t>
    </r>
    <r>
      <rPr>
        <sz val="11"/>
        <color rgb="FFFF0000"/>
        <rFont val="Calibri"/>
        <family val="2"/>
        <scheme val="minor"/>
      </rPr>
      <t xml:space="preserve"> (RC) Kept 500 deposit as partial initial deposit bill another $697 toward the 40% deposit on </t>
    </r>
    <r>
      <rPr>
        <b/>
        <u/>
        <sz val="11"/>
        <color rgb="FFFF0000"/>
        <rFont val="Calibri"/>
        <family val="2"/>
        <scheme val="minor"/>
      </rPr>
      <t>8-3-2013 then on Jan 4 bill the balance of 2343</t>
    </r>
  </si>
  <si>
    <t>Jan-26-14</t>
  </si>
  <si>
    <t>Richard Simpson</t>
  </si>
  <si>
    <t xml:space="preserve">blitztj@aol.com </t>
  </si>
  <si>
    <t>May 16 to May 23</t>
  </si>
  <si>
    <t>Mar-21-14</t>
  </si>
  <si>
    <t>Jessica Jeffries</t>
  </si>
  <si>
    <t>jessica_jeffries@yahoo.de</t>
  </si>
  <si>
    <t>April 26 to May 13</t>
  </si>
  <si>
    <t>Feb 28-14</t>
  </si>
  <si>
    <t>A/D/F1/F2/B</t>
  </si>
  <si>
    <r>
      <rPr>
        <b/>
        <sz val="11"/>
        <color rgb="FFFF0000"/>
        <rFont val="Calibri"/>
        <family val="2"/>
      </rPr>
      <t xml:space="preserve">Boat YES NO? </t>
    </r>
    <r>
      <rPr>
        <sz val="11"/>
        <rFont val="Calibri"/>
        <family val="2"/>
      </rPr>
      <t xml:space="preserve">Brian Reid </t>
    </r>
    <r>
      <rPr>
        <b/>
        <sz val="11"/>
        <color rgb="FFFF0000"/>
        <rFont val="Calibri"/>
        <family val="2"/>
      </rPr>
      <t>(Ret Customer) TAKING ON CRUISE</t>
    </r>
  </si>
  <si>
    <t>Marie Cirafesi</t>
  </si>
  <si>
    <t>mcirafesi@aol.com</t>
  </si>
  <si>
    <t>Jan-6-14</t>
  </si>
  <si>
    <t>May 3 to May 9-became may 10</t>
  </si>
  <si>
    <t>A/D/F1/B/F2/REC/T/RR/T</t>
  </si>
  <si>
    <t>A/D/F1/B/F2/T/RR</t>
  </si>
  <si>
    <t>Lisa Donelly</t>
  </si>
  <si>
    <t>lapdonnelly@verizon.net</t>
  </si>
  <si>
    <t>June 7 to June 14</t>
  </si>
  <si>
    <t>4 inc 2 children (4 other will visit onece overnight)</t>
  </si>
  <si>
    <t>Apr-19-14</t>
  </si>
  <si>
    <t>5 incc 3 children</t>
  </si>
  <si>
    <t>Apr-5-14</t>
  </si>
  <si>
    <t>May 29 to June 7</t>
  </si>
  <si>
    <r>
      <t xml:space="preserve">Edward Peery </t>
    </r>
    <r>
      <rPr>
        <b/>
        <sz val="11"/>
        <color rgb="FFFF0000"/>
        <rFont val="Calibri"/>
        <family val="2"/>
        <scheme val="minor"/>
      </rPr>
      <t>RETURNING GUEST</t>
    </r>
  </si>
  <si>
    <t>3 inc 1 child  DISCOUNT WAS $1,593</t>
  </si>
  <si>
    <t>3 Inc 0 children --NEED POOL RELEASES</t>
  </si>
  <si>
    <t>Karin and Martin Baumgartner</t>
  </si>
  <si>
    <t>baeumli1971@bluewin.ch</t>
  </si>
  <si>
    <t>June 14 to June 20</t>
  </si>
  <si>
    <t>Sep 27 (on boat) to Sep 29</t>
  </si>
  <si>
    <t>Mar 2 to Mar 8</t>
  </si>
  <si>
    <t xml:space="preserve">Oct 11 to 17, Dag and Jason Oct 1414 </t>
  </si>
  <si>
    <t>Brian Kremer</t>
  </si>
  <si>
    <t>BKremer@arrow-capital.com</t>
  </si>
  <si>
    <t>Dec 1 to Dec 10</t>
  </si>
  <si>
    <t>Oct-6-13</t>
  </si>
  <si>
    <r>
      <t xml:space="preserve">Clean </t>
    </r>
    <r>
      <rPr>
        <sz val="10"/>
        <color indexed="10"/>
        <rFont val="Verdana"/>
        <family val="2"/>
      </rPr>
      <t>Exit and midstay</t>
    </r>
  </si>
  <si>
    <t>Jan 4 bill the balance of 2343 all else done****Aug 3 2013 BILL ANOTHER $697 that compleats the deposit of $1197 then on Jan 4 bill the balance of 2343</t>
  </si>
  <si>
    <r>
      <t>A/D/F1/B/F2/</t>
    </r>
    <r>
      <rPr>
        <sz val="11"/>
        <rFont val="Calibri"/>
        <family val="2"/>
        <scheme val="minor"/>
      </rPr>
      <t>T</t>
    </r>
  </si>
  <si>
    <t>REFUNDED DEPOSIT TO owenconnah@hotmail.com nancy@trustfido.co.uk nancy.collantine@fidopr.co.uk</t>
  </si>
  <si>
    <t>Rachel Woodfield</t>
  </si>
  <si>
    <t>lisa clements</t>
  </si>
  <si>
    <t>lisaclements247@gmail.com</t>
  </si>
  <si>
    <t>12 Aug to 22 Aug</t>
  </si>
  <si>
    <t>June-17-14</t>
  </si>
  <si>
    <t>A/D/F1/B/F2/T/POSTED REVIEW</t>
  </si>
  <si>
    <t>Hope Bank</t>
  </si>
  <si>
    <t>Oct-22-13</t>
  </si>
  <si>
    <t>fromhopebank@gmail.com --&gt; for PayPal mitch@mycruiseclub.com</t>
  </si>
  <si>
    <t>PIGS left shit and urine on our bed….A/D/F1/B/F2/TRANSFER DONE</t>
  </si>
  <si>
    <t>DONE Jan-18-14</t>
  </si>
  <si>
    <t>Dec 25 to Jan 5 but Dag and Jason back Jan 1 then back again Jan 3 then we all go to NY Jan 5 (CLEN Jn 3, 17, 31 Jan, then 14 , and 24th of Feb then March 2 (clients moving in)</t>
  </si>
  <si>
    <t>23 May ro 26 May CLEAN MAY 27</t>
  </si>
  <si>
    <r>
      <t xml:space="preserve">20 Jun to </t>
    </r>
    <r>
      <rPr>
        <sz val="14"/>
        <rFont val="Calibri"/>
        <family val="2"/>
        <scheme val="minor"/>
      </rPr>
      <t>24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Jun</t>
    </r>
  </si>
  <si>
    <t>REFUNDED</t>
  </si>
  <si>
    <t>Diane horan</t>
  </si>
  <si>
    <t>diane.horan2@gmail.com</t>
  </si>
  <si>
    <t>Jan-18-14</t>
  </si>
  <si>
    <r>
      <t xml:space="preserve">Brian Reid </t>
    </r>
    <r>
      <rPr>
        <b/>
        <sz val="11"/>
        <color rgb="FFFF0000"/>
        <rFont val="Calibri"/>
        <family val="2"/>
      </rPr>
      <t>(Ret Customer)</t>
    </r>
  </si>
  <si>
    <t xml:space="preserve">4 inc 2 children </t>
  </si>
  <si>
    <t>25 Jun to Jul 5</t>
  </si>
  <si>
    <t>Apr-30-14</t>
  </si>
  <si>
    <t>Jul 12 to Aug 2</t>
  </si>
  <si>
    <t>July 5 to July 12</t>
  </si>
  <si>
    <t>maggiecuzzi@aol.com</t>
  </si>
  <si>
    <t>5 inc 1 children</t>
  </si>
  <si>
    <t>May-10-14</t>
  </si>
  <si>
    <r>
      <t>A/D/F1/B/F2/</t>
    </r>
    <r>
      <rPr>
        <sz val="11"/>
        <color rgb="FFFF0000"/>
        <rFont val="Calibri"/>
        <family val="2"/>
        <scheme val="minor"/>
      </rPr>
      <t>KEPT DEPOSIT FOR NEXT YEAR</t>
    </r>
  </si>
  <si>
    <r>
      <rPr>
        <b/>
        <sz val="11"/>
        <color rgb="FFFF0000"/>
        <rFont val="Calibri"/>
        <family val="2"/>
        <scheme val="minor"/>
      </rPr>
      <t>HAD A DOG DO NOT ALLOW BACK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Dec 17 to Dec 25</t>
    </r>
  </si>
  <si>
    <t>August 29 to Sep 1 CLEN SEP 2</t>
  </si>
  <si>
    <t>4 adults</t>
  </si>
  <si>
    <t>VB</t>
  </si>
  <si>
    <t>November 25 to 30</t>
  </si>
  <si>
    <t>November 24 to 29</t>
  </si>
  <si>
    <t>genorman@btinternet.com</t>
  </si>
  <si>
    <t>Geon and Gordon Norman</t>
  </si>
  <si>
    <t>sep-2-15</t>
  </si>
  <si>
    <t>Debbie Clow</t>
  </si>
  <si>
    <t>debra_clow@yahoo.co.uk</t>
  </si>
  <si>
    <t>22 Aug to 28 Aug</t>
  </si>
  <si>
    <t>June-27-14</t>
  </si>
  <si>
    <t>Anita Yoder</t>
  </si>
  <si>
    <t>Dec 17 to Dec 23</t>
  </si>
  <si>
    <t>Nov 30 to Dec 7</t>
  </si>
  <si>
    <r>
      <t>Brian Kremer (</t>
    </r>
    <r>
      <rPr>
        <b/>
        <sz val="11"/>
        <color rgb="FFFF0000"/>
        <rFont val="Calibri"/>
        <family val="2"/>
      </rPr>
      <t>ret Guest</t>
    </r>
    <r>
      <rPr>
        <sz val="11"/>
        <rFont val="Calibri"/>
        <family val="2"/>
      </rPr>
      <t>)</t>
    </r>
  </si>
  <si>
    <t>5 inc 2 childen</t>
  </si>
  <si>
    <r>
      <rPr>
        <b/>
        <sz val="11"/>
        <color rgb="FFFF0000"/>
        <rFont val="Calibri"/>
        <family val="2"/>
        <scheme val="minor"/>
      </rPr>
      <t>CHANGE</t>
    </r>
    <r>
      <rPr>
        <sz val="11"/>
        <color theme="1"/>
        <rFont val="Calibri"/>
        <family val="2"/>
        <scheme val="minor"/>
      </rPr>
      <t xml:space="preserve"> Oct 20 to Nov 3</t>
    </r>
  </si>
  <si>
    <t>Nov 3 to Nov 11</t>
  </si>
  <si>
    <t>Shawm44@sbcglobal.net</t>
  </si>
  <si>
    <t>April 20 to April 26</t>
  </si>
  <si>
    <t>paulylong@gmail.com</t>
  </si>
  <si>
    <t>Paul Long</t>
  </si>
  <si>
    <t>10 inc 5 children</t>
  </si>
  <si>
    <r>
      <rPr>
        <sz val="11"/>
        <rFont val="Calibri"/>
        <family val="2"/>
        <scheme val="minor"/>
      </rPr>
      <t>Driving in on the 18th Staying on the boat drop off car 11AM</t>
    </r>
    <r>
      <rPr>
        <sz val="11"/>
        <color rgb="FFFF0000"/>
        <rFont val="Calibri"/>
        <family val="2"/>
        <scheme val="minor"/>
      </rPr>
      <t xml:space="preserve">  ON 19th STAYING ON BOAT NIGHT BEFORE) leaving on</t>
    </r>
    <r>
      <rPr>
        <b/>
        <sz val="11"/>
        <color rgb="FFFF0000"/>
        <rFont val="Calibri"/>
        <family val="2"/>
        <scheme val="minor"/>
      </rPr>
      <t xml:space="preserve"> Apr Sunday 20 11AM.</t>
    </r>
  </si>
  <si>
    <t>3 inc 1  child</t>
  </si>
  <si>
    <t>Feb 22 to Mar 13</t>
  </si>
  <si>
    <t>oninnaz@aol.com</t>
  </si>
  <si>
    <t>john zannino</t>
  </si>
  <si>
    <t>Dec-28-14</t>
  </si>
  <si>
    <t>March 29  to April 5 (stay on boat night before..IF WE ARE BOOKED   (mar 28) dag not coming untill April 2 but driving us into WP airport)</t>
  </si>
  <si>
    <t>Dec 25 to Jan 4 For LATE leaving day before</t>
  </si>
  <si>
    <t>Jan 29 to Jan  Feb 1 for late leaving day before</t>
  </si>
  <si>
    <t>Feb 12 to 22 for late leaving day before Dag go home 16th then come back 19th</t>
  </si>
  <si>
    <t>March 18 to March 27 bur dag comes on march 24</t>
  </si>
  <si>
    <t>May 2 to May 16</t>
  </si>
  <si>
    <t>Elizabeth Bestum</t>
  </si>
  <si>
    <t>Mar-7-15</t>
  </si>
  <si>
    <t>A/D/F1/B/F2/RR/GOTIT</t>
  </si>
  <si>
    <r>
      <t>Marianne Meijer (</t>
    </r>
    <r>
      <rPr>
        <b/>
        <sz val="11"/>
        <color rgb="FFFF0000"/>
        <rFont val="Calibri"/>
        <family val="2"/>
        <scheme val="minor"/>
      </rPr>
      <t>KEEP BREAKAGE DEPOSIT TOWARDS NEXT YEARS DEPOSIT) (ret guest)</t>
    </r>
  </si>
  <si>
    <t>3 inc 1 child DISCOUNT WAS $2,923</t>
  </si>
  <si>
    <t>Jul-14-15</t>
  </si>
  <si>
    <t>A/D/F1/B/F2/RR</t>
  </si>
  <si>
    <t>April 5 to 12 (chrage only up to 11) discounted from $1,838 + payPal</t>
  </si>
  <si>
    <t>Feb-8-15</t>
  </si>
  <si>
    <t>Brian.waddell@marconpk.com</t>
  </si>
  <si>
    <t>March 22 to March 29</t>
  </si>
  <si>
    <t>Jan-25-15</t>
  </si>
  <si>
    <t>Dawn cross</t>
  </si>
  <si>
    <t>28 Sep to 9 Oct</t>
  </si>
  <si>
    <t>A/D/F1/B/F2/RR… TRANSFER DONE TO SON blong06@yahoo.com</t>
  </si>
  <si>
    <t>June 1 to June 8</t>
  </si>
  <si>
    <t>April-16-15</t>
  </si>
  <si>
    <t>April-6-15</t>
  </si>
  <si>
    <t>Dec 25 to Dec 31</t>
  </si>
  <si>
    <t>January 16 to January 19</t>
  </si>
  <si>
    <t>Feb 13 Feb to 22 (but dag leaves on the 17th)</t>
  </si>
  <si>
    <t>January 30, to Feb 2 LEAVING FEB 1 BUT LATE</t>
  </si>
  <si>
    <t>June 25 EARLY to June 29 LATE clean on 30th</t>
  </si>
  <si>
    <t>September 4 to Sep 8 Leaving on 7th LATE clean next day</t>
  </si>
  <si>
    <r>
      <t xml:space="preserve">1 January to 4 January                                       1 Jan to Feb 22 or 1 Mar </t>
    </r>
    <r>
      <rPr>
        <sz val="11"/>
        <color rgb="FFFF0000"/>
        <rFont val="Calibri"/>
        <family val="2"/>
        <scheme val="minor"/>
      </rPr>
      <t xml:space="preserve">(us 1 Jan to 4 Jan, 16 Jan to 19 Jan 30 Jan to 1, Feb 13 Feb to 22 (but dag leaves on the 17th), … </t>
    </r>
    <r>
      <rPr>
        <b/>
        <sz val="11"/>
        <color rgb="FFFF0000"/>
        <rFont val="Calibri"/>
        <family val="2"/>
        <scheme val="minor"/>
      </rPr>
      <t>MAYBE Feb 27 to Mar 1 closing NO GUETS ALLOWED UNTIL MARCH 2--- IF THE PEOPLE DON't TAKE THE WEEK</t>
    </r>
  </si>
  <si>
    <t>A/D/F1/B/F2/KEEP 500 DEP for NEXT YEAR.</t>
  </si>
  <si>
    <t>Sep 8 to Sep 29</t>
  </si>
  <si>
    <t>May -8-15</t>
  </si>
  <si>
    <t>July 3 to Jul 11</t>
  </si>
  <si>
    <t>Feb 2 to Feb 13</t>
  </si>
  <si>
    <t>Annie</t>
  </si>
  <si>
    <t>Sep 20 to Sep 26 OVERLAPPING US</t>
  </si>
  <si>
    <t>1 Adult</t>
  </si>
  <si>
    <t>A/D/F1/B/F2/T+RR</t>
  </si>
  <si>
    <t>A/D/F1/B/F2/ KEEP DEPOSIT for next year.</t>
  </si>
  <si>
    <t>15 Aug to 29 Aug</t>
  </si>
  <si>
    <t>June-20-15</t>
  </si>
  <si>
    <t>Brian.Reid@pcbank.ca</t>
  </si>
  <si>
    <t>A/D/F1/B/F2/RR BITCH</t>
  </si>
  <si>
    <r>
      <t xml:space="preserve">Margaret Cuzzi </t>
    </r>
    <r>
      <rPr>
        <b/>
        <sz val="11"/>
        <color rgb="FFFF0000"/>
        <rFont val="Calibri"/>
        <family val="2"/>
        <scheme val="minor"/>
      </rPr>
      <t>BITCH</t>
    </r>
  </si>
  <si>
    <t>&gt;-- new  crossdavid1961@gmail.com  this is old seems to not work anymore    ----&gt;  pi5imob@talktalk.net</t>
  </si>
  <si>
    <t>Aug-2-14</t>
  </si>
  <si>
    <r>
      <t xml:space="preserve">Sep 25 to Sep 28  (CONTRACTOR SEP 26 3PM PBS contractors (John) </t>
    </r>
    <r>
      <rPr>
        <b/>
        <sz val="11"/>
        <color rgb="FFFF0000"/>
        <rFont val="Calibri"/>
        <family val="2"/>
        <scheme val="minor"/>
      </rPr>
      <t xml:space="preserve"> (should be Rosh Hashana on the 25 and I think 26?????) </t>
    </r>
  </si>
  <si>
    <t>rachelwoodfield123@btinternet.com  OR rwoodfield73@gmail.com</t>
  </si>
  <si>
    <t>April 12 to April 19</t>
  </si>
  <si>
    <t>Joanne Normand</t>
  </si>
  <si>
    <t>jomnn@comcast.net</t>
  </si>
  <si>
    <t>April 24 to May 2</t>
  </si>
  <si>
    <t>2 people inc 0 children</t>
  </si>
  <si>
    <t>Feb-27-15</t>
  </si>
  <si>
    <t>A/D/F1/B/F2/T/  RR WAITING</t>
  </si>
  <si>
    <t>sled-me@midcoast.com</t>
  </si>
  <si>
    <t>Mark Boynton</t>
  </si>
  <si>
    <r>
      <rPr>
        <b/>
        <sz val="11"/>
        <color rgb="FFFF0000"/>
        <rFont val="Calibri"/>
        <family val="2"/>
        <scheme val="minor"/>
      </rPr>
      <t xml:space="preserve">CHANGE </t>
    </r>
    <r>
      <rPr>
        <sz val="11"/>
        <color theme="1"/>
        <rFont val="Calibri"/>
        <family val="2"/>
        <scheme val="minor"/>
      </rPr>
      <t>November 11 to 18</t>
    </r>
  </si>
  <si>
    <t xml:space="preserve"> remeijer@ziggo.nl &lt;-----------   That is the pay pal one info@babymoonandco.nl OR marianne@kraamzorgbabymoon.nl</t>
  </si>
  <si>
    <t>Julie Blake coachjulieblake@gmail.com and also Megan Sillito megansillito@gmail.com &lt;-- for paypal</t>
  </si>
  <si>
    <t>October 15 to 20</t>
  </si>
  <si>
    <t>8 inc 0 children</t>
  </si>
  <si>
    <r>
      <t>Oct 10 to Oct</t>
    </r>
    <r>
      <rPr>
        <sz val="11"/>
        <color rgb="FFFF0000"/>
        <rFont val="Calibri"/>
        <family val="2"/>
        <scheme val="minor"/>
      </rPr>
      <t xml:space="preserve"> 15</t>
    </r>
  </si>
  <si>
    <t>D/A/B/F2</t>
  </si>
  <si>
    <t>dec-25-15</t>
  </si>
  <si>
    <t>strawhat899@gmail.com &lt;-- for PayPal also rose56@gmail.com</t>
  </si>
  <si>
    <t>6 adults 3 children</t>
  </si>
  <si>
    <r>
      <rPr>
        <b/>
        <sz val="12"/>
        <color rgb="FFFF0000"/>
        <rFont val="Calibri"/>
        <family val="2"/>
        <scheme val="minor"/>
      </rPr>
      <t>PIGS</t>
    </r>
    <r>
      <rPr>
        <sz val="12"/>
        <color rgb="FF000000"/>
        <rFont val="Calibri"/>
        <family val="2"/>
        <scheme val="minor"/>
      </rPr>
      <t xml:space="preserve"> Julie Blake coachjulieblake@gmail.com and also Megan Sillito megansillito@gmail.com &lt;-- for paypal</t>
    </r>
  </si>
  <si>
    <t>D/A/F1/B/F2/T DID NOT REQUEST REVIEW</t>
  </si>
  <si>
    <r>
      <t>Margaret Shaw</t>
    </r>
    <r>
      <rPr>
        <b/>
        <sz val="11"/>
        <color rgb="FFFF0000"/>
        <rFont val="Calibri"/>
        <family val="2"/>
      </rPr>
      <t xml:space="preserve"> (STUPID DO NOT LET BACK)</t>
    </r>
  </si>
  <si>
    <t>D/A/F1/B/F2/RR</t>
  </si>
  <si>
    <t xml:space="preserve">alan.packard@rogers.com, johnwolpert@hotmail.com </t>
  </si>
  <si>
    <t>REFUNDED + 1,000 to leave us alone...WANTE US TO CANCEL OUR UPGRADE!!! Alan Packard</t>
  </si>
  <si>
    <t>REFUNDE</t>
  </si>
  <si>
    <t>REFUNDED….  FATHERINLAW GOT CANCER HAD TO CANCEL GAVE ALL MONEY BACK CHABGE Dec 8 to Dec 15</t>
  </si>
  <si>
    <t>A/D/F1/REFUNDED</t>
  </si>
  <si>
    <t>A/D/F1/B/F2/RR + TINFO</t>
  </si>
  <si>
    <t>November 29 to Dec 13</t>
  </si>
  <si>
    <t>5 Inc 2 children</t>
  </si>
  <si>
    <t>Oct-4-15</t>
  </si>
  <si>
    <t>Nov 3 to Nov 24</t>
  </si>
  <si>
    <r>
      <t>Stan Keyworth</t>
    </r>
    <r>
      <rPr>
        <b/>
        <sz val="11"/>
        <color rgb="FFFF0000"/>
        <rFont val="Calibri"/>
        <family val="2"/>
        <scheme val="minor"/>
      </rPr>
      <t>ASSWHOLE</t>
    </r>
  </si>
  <si>
    <t>ginaadams72@hotmail.com</t>
  </si>
  <si>
    <t>7 inc 1 child</t>
  </si>
  <si>
    <t>Peter Chubb</t>
  </si>
  <si>
    <t>p.chubb806@btinternet.com</t>
  </si>
  <si>
    <t>October 19 to Oct 27</t>
  </si>
  <si>
    <t>Aug-24-15</t>
  </si>
  <si>
    <t>Mar-23-15</t>
  </si>
  <si>
    <t>May 25 to May 30</t>
  </si>
  <si>
    <r>
      <t xml:space="preserve">Gina Adams </t>
    </r>
    <r>
      <rPr>
        <b/>
        <sz val="11"/>
        <color rgb="FFFF0000"/>
        <rFont val="Calibri"/>
        <family val="2"/>
        <scheme val="minor"/>
      </rPr>
      <t>(REMIND THEM CHECK IN LATE AFTER 5PM)</t>
    </r>
  </si>
  <si>
    <t>`</t>
  </si>
  <si>
    <t>june 11 to june 25</t>
  </si>
  <si>
    <t>Rob Marson</t>
  </si>
  <si>
    <t>rob_marson@hotmail.com</t>
  </si>
  <si>
    <t>october 1 to 9</t>
  </si>
  <si>
    <t>Leonardo Ferre</t>
  </si>
  <si>
    <t>lferre@ETS.ORG</t>
  </si>
  <si>
    <t>Aug-6-15</t>
  </si>
  <si>
    <t>Paul Durkin</t>
  </si>
  <si>
    <t>paul-durkin@tiscali.co.uk</t>
  </si>
  <si>
    <t>April 1 to June 30 &amp; Sep 1 Dec 31</t>
  </si>
  <si>
    <t>Jan 1 to March 30</t>
  </si>
  <si>
    <t>Jan 15 to Jan 19 for late leaving day before the 18th is martin luter coon day</t>
  </si>
  <si>
    <t>Feb 23 to Mar 12</t>
  </si>
  <si>
    <t>Mar 12 to 18</t>
  </si>
  <si>
    <t>jan-16-16</t>
  </si>
  <si>
    <t>anncallan@yahoo.com also ddsandbergtwo@mac.com 30annsandberg@gmail.com</t>
  </si>
  <si>
    <r>
      <t xml:space="preserve">2 inc 0 children </t>
    </r>
    <r>
      <rPr>
        <b/>
        <sz val="11"/>
        <color rgb="FFFF0000"/>
        <rFont val="Calibri"/>
        <family val="2"/>
        <scheme val="minor"/>
      </rPr>
      <t>(MAY CHANGE TO UP TO 6 WILL NEED MORE MONEY AND NEW RENTAL AGR)</t>
    </r>
  </si>
  <si>
    <t>Feb 1 to Feb 12</t>
  </si>
  <si>
    <t>dec-7-15</t>
  </si>
  <si>
    <r>
      <t>Brian Waddell</t>
    </r>
    <r>
      <rPr>
        <b/>
        <sz val="11"/>
        <color rgb="FFFF0000"/>
        <rFont val="Calibri"/>
        <family val="2"/>
      </rPr>
      <t xml:space="preserve"> (keeps doors open, runs Spa all day DO NOT REINVITE)</t>
    </r>
  </si>
  <si>
    <t>Nicole Hildenbrand-Elgin</t>
  </si>
  <si>
    <t>feminic@aol.com(BOUNCES USING HTMAIL CONTCAT FROM CAVALIERHOME INSTEAD)</t>
  </si>
  <si>
    <t>Jul 11, to Jul 17</t>
  </si>
  <si>
    <t>May 12-15</t>
  </si>
  <si>
    <t>A/D/F1/B/F2/RR+T INFO/GOTITALL</t>
  </si>
  <si>
    <t>A/D/F1/B/F2/KEPT DEPOSIT NEED DATES AND REVIEW</t>
  </si>
  <si>
    <t>shaynahamma@yahoo.com and khamma76@yahoo.com &lt;-- for pay pal</t>
  </si>
  <si>
    <t>pgkward@gmail.com keeanward@gmail.com</t>
  </si>
  <si>
    <r>
      <t xml:space="preserve">Paul  Ward </t>
    </r>
    <r>
      <rPr>
        <sz val="11"/>
        <color rgb="FFFF0000"/>
        <rFont val="Calibri"/>
        <family val="2"/>
        <scheme val="minor"/>
      </rPr>
      <t xml:space="preserve"> (RC) Kept 500 deposit</t>
    </r>
    <r>
      <rPr>
        <b/>
        <u/>
        <sz val="11"/>
        <color rgb="FFFF0000"/>
        <rFont val="Calibri"/>
        <family val="2"/>
        <scheme val="minor"/>
      </rPr>
      <t xml:space="preserve"> AGAIN!!!!!</t>
    </r>
    <r>
      <rPr>
        <sz val="11"/>
        <color rgb="FFFF0000"/>
        <rFont val="Calibri"/>
        <family val="2"/>
        <scheme val="minor"/>
      </rPr>
      <t>as the deposit SEE E-MAIL</t>
    </r>
  </si>
  <si>
    <r>
      <t>Paul  Ward (</t>
    </r>
    <r>
      <rPr>
        <b/>
        <sz val="11"/>
        <color theme="1"/>
        <rFont val="Calibri"/>
        <family val="2"/>
        <scheme val="minor"/>
      </rPr>
      <t>great famely</t>
    </r>
    <r>
      <rPr>
        <sz val="11"/>
        <color theme="1"/>
        <rFont val="Calibri"/>
        <family val="2"/>
        <scheme val="minor"/>
      </rPr>
      <t xml:space="preserve">) </t>
    </r>
    <r>
      <rPr>
        <sz val="11"/>
        <color rgb="FFFF0000"/>
        <rFont val="Calibri"/>
        <family val="2"/>
        <scheme val="minor"/>
      </rPr>
      <t xml:space="preserve"> (RC) Kept 500 deposit</t>
    </r>
    <r>
      <rPr>
        <b/>
        <u/>
        <sz val="11"/>
        <color rgb="FFFF0000"/>
        <rFont val="Calibri"/>
        <family val="2"/>
        <scheme val="minor"/>
      </rPr>
      <t xml:space="preserve"> AGAIN!!!!!</t>
    </r>
    <r>
      <rPr>
        <sz val="11"/>
        <color rgb="FFFF0000"/>
        <rFont val="Calibri"/>
        <family val="2"/>
        <scheme val="minor"/>
      </rPr>
      <t>as the deposit SEE E-MAIL</t>
    </r>
  </si>
  <si>
    <t>jonanddebs99@gmail.com</t>
  </si>
  <si>
    <t>June-25-16</t>
  </si>
  <si>
    <t>cxu-98g-awc@tele2.se conny.elisabeth@tele2.se PHONE 46 709 531 631    conny.kjellander@tele2.se</t>
  </si>
  <si>
    <t>us</t>
  </si>
  <si>
    <t>john.setzer@aol.com</t>
  </si>
  <si>
    <t xml:space="preserve">John Setzer 585-455-5361 </t>
  </si>
  <si>
    <t>Feb-28-16</t>
  </si>
  <si>
    <t>suzanne@jdmbuildinggroup.com</t>
  </si>
  <si>
    <t>Aug 29 to Sep 4</t>
  </si>
  <si>
    <t>2 adults</t>
  </si>
  <si>
    <t>June-30-15</t>
  </si>
  <si>
    <t>A/D/F1/B/F2/ RR KEEPING DEPOSIT TOWARD NEXT YEAR, need dates</t>
  </si>
  <si>
    <t>A/D/F1/B/F2/T   RR</t>
  </si>
  <si>
    <t>April 8 to April 15</t>
  </si>
  <si>
    <t>April 15 to 24 (would be nice to leave late)</t>
  </si>
  <si>
    <t>Richard Langley</t>
  </si>
  <si>
    <t>langley@nbnet.nb.ca</t>
  </si>
  <si>
    <t>April 24 to May 8</t>
  </si>
  <si>
    <t>Feb 28-16</t>
  </si>
  <si>
    <t xml:space="preserve">Kevin and Shayna Hamma RULE BREAKERS had 14 people at the house for a party, let 4 people stay overnight without permissiobn, left the house a mess </t>
  </si>
  <si>
    <t>A/D/F1/B/F2/RR+T</t>
  </si>
  <si>
    <t>September 2 to Sep 6 leaving on Sep 5 late</t>
  </si>
  <si>
    <t>Nov 23 to 27 LATE clean 28th</t>
  </si>
  <si>
    <t>Feb 17 to 26 leave late clean on the 27th</t>
  </si>
  <si>
    <t>April 7 to April 16 leaving late clean 17th</t>
  </si>
  <si>
    <t>May 26 to May 29 leave late clean on 30th</t>
  </si>
  <si>
    <t>Sep 1 to Sep 4</t>
  </si>
  <si>
    <t>Aug 3 to Aug 13</t>
  </si>
  <si>
    <t>JUNE IF OPEN WEEKEND</t>
  </si>
  <si>
    <r>
      <rPr>
        <b/>
        <sz val="11"/>
        <color rgb="FFFF0000"/>
        <rFont val="Calibri"/>
        <family val="2"/>
        <scheme val="minor"/>
      </rPr>
      <t>July 17 t</t>
    </r>
    <r>
      <rPr>
        <sz val="11"/>
        <color theme="1"/>
        <rFont val="Calibri"/>
        <family val="2"/>
        <scheme val="minor"/>
      </rPr>
      <t>o August 15</t>
    </r>
  </si>
  <si>
    <t xml:space="preserve">July 6 to August 3 </t>
  </si>
  <si>
    <t>4 Inc 0 child</t>
  </si>
  <si>
    <t>Dec 18, to Dec 23</t>
  </si>
  <si>
    <t>6 inc 1 child</t>
  </si>
  <si>
    <t>johnkreuzer5@hotmail.com</t>
  </si>
  <si>
    <t>John Kreuzer</t>
  </si>
  <si>
    <t>Oct-23-15</t>
  </si>
  <si>
    <t>June-8-16</t>
  </si>
  <si>
    <t xml:space="preserve">October 9 to Oct 12 </t>
  </si>
  <si>
    <t>lorrainehotchkies@mac.com</t>
  </si>
  <si>
    <t>Oct 12 to Oct 19</t>
  </si>
  <si>
    <t>Aug -13-15</t>
  </si>
  <si>
    <r>
      <t xml:space="preserve">Dos Santos </t>
    </r>
    <r>
      <rPr>
        <b/>
        <sz val="11"/>
        <color rgb="FFFF0000"/>
        <rFont val="Calibri"/>
        <family val="2"/>
      </rPr>
      <t>NEXT GUEST COMING AFTER 4 PM</t>
    </r>
  </si>
  <si>
    <r>
      <t xml:space="preserve">Lisa Donelly </t>
    </r>
    <r>
      <rPr>
        <b/>
        <sz val="11"/>
        <color rgb="FFFF0000"/>
        <rFont val="Calibri"/>
        <family val="2"/>
      </rPr>
      <t>KEPT DEPOSIT FOR NEXT YEAR</t>
    </r>
  </si>
  <si>
    <t>A/D/F1/B/F2/B/T RR   USING HA PAYMENTS</t>
  </si>
  <si>
    <t>kariejhead@aol.com</t>
  </si>
  <si>
    <t>Karie Head</t>
  </si>
  <si>
    <t>Jan 21 to Jan 28</t>
  </si>
  <si>
    <t>3 inc one teen child + maybe another teen visiting</t>
  </si>
  <si>
    <t>Nov 26-15</t>
  </si>
  <si>
    <r>
      <t xml:space="preserve">Lorraine Hotchkies </t>
    </r>
    <r>
      <rPr>
        <b/>
        <sz val="11"/>
        <color rgb="FFFF0000"/>
        <rFont val="Calibri"/>
        <family val="2"/>
      </rPr>
      <t>(KEEP $100 from Breakage for BIKES use AND ALSO CHECK IN AFTER 4PM)</t>
    </r>
  </si>
  <si>
    <t>July 27 to Aug 13</t>
  </si>
  <si>
    <t>July 1 to 27</t>
  </si>
  <si>
    <t>Melanie and Steve Hewitt</t>
  </si>
  <si>
    <t>FH</t>
  </si>
  <si>
    <t>Jan 4, to Jan 11</t>
  </si>
  <si>
    <t>Nov-9-15</t>
  </si>
  <si>
    <t>Greg Erickson</t>
  </si>
  <si>
    <t>gregerickson@comcast.net</t>
  </si>
  <si>
    <t>Aug 13 to Aug 19</t>
  </si>
  <si>
    <t>Debbie chapman (changed dates originaly was Aug 20 to 26)</t>
  </si>
  <si>
    <t>March 27 to April 1</t>
  </si>
  <si>
    <t>mrsfiske75@yahoo.com</t>
  </si>
  <si>
    <t>jan-31-16</t>
  </si>
  <si>
    <t>A/D/F1/B/F2  USING HA PAYMENTS</t>
  </si>
  <si>
    <t>Stacey Fiske (ADDED FRIENDS)</t>
  </si>
  <si>
    <t>A/D/F1/B/F2 Rtinfo</t>
  </si>
  <si>
    <t>8 incl 4 children</t>
  </si>
  <si>
    <t>AD/AOMEAWAY/F1/B/F2 GOT REVIEW AND SENT BACK DEPOSIT VIA PAYPAL NOT HA</t>
  </si>
  <si>
    <r>
      <t xml:space="preserve">Suzanne Johns </t>
    </r>
    <r>
      <rPr>
        <b/>
        <sz val="11"/>
        <color rgb="FFFF0000"/>
        <rFont val="Calibri"/>
        <family val="2"/>
      </rPr>
      <t>SHIT LIST messed up the microwave, left napkins in the pool, broth in CLOROX cleaner.  2 People did all this.</t>
    </r>
  </si>
  <si>
    <t>Marianne Meijer (ret guest)CHAMPAGN (30th Aniversery)  Kept last years breakage toward initial deposit  see emails for details</t>
  </si>
  <si>
    <t>BKremer@arrow-capital.com     lkremer@sympatico.ca</t>
  </si>
  <si>
    <t>A/D/F1/B/F2 RR+TINFO</t>
  </si>
  <si>
    <t xml:space="preserve">Dos Santos </t>
  </si>
  <si>
    <t>A/D/F1//B/F2/ RR + TINFO</t>
  </si>
  <si>
    <t>Oct 27 to Nov 3</t>
  </si>
  <si>
    <t>gblaine@mts.net</t>
  </si>
  <si>
    <t>Tracey Duffy</t>
  </si>
  <si>
    <t>Sept 13 to Sept 27</t>
  </si>
  <si>
    <t>tduffy10@googlemail.com</t>
  </si>
  <si>
    <t>2 asults</t>
  </si>
  <si>
    <t>Jul-19-16</t>
  </si>
  <si>
    <t>A/D/F1/B/F2 PAYPAL INCLUDED</t>
  </si>
  <si>
    <t>A/D/F1/B/F2  RTINFO</t>
  </si>
  <si>
    <t xml:space="preserve">A/D/F1/B/F2/T USING HA PAYMENTS </t>
  </si>
  <si>
    <r>
      <t xml:space="preserve">Gord Blaine </t>
    </r>
    <r>
      <rPr>
        <b/>
        <sz val="11"/>
        <color rgb="FFFF0000"/>
        <rFont val="Calibri"/>
        <family val="2"/>
      </rPr>
      <t>(shit list did not take very good care of the place)</t>
    </r>
  </si>
  <si>
    <t>April 30 to May 7</t>
  </si>
  <si>
    <t>Samantha &amp; Kevin Shimmon</t>
  </si>
  <si>
    <t>Mar-5-17</t>
  </si>
  <si>
    <t>3  inc 1 child</t>
  </si>
  <si>
    <t>Theresa Ann Sandberg</t>
  </si>
  <si>
    <r>
      <t>Barbara Erwin</t>
    </r>
    <r>
      <rPr>
        <sz val="11"/>
        <color rgb="FFFF0000"/>
        <rFont val="Calibri"/>
        <family val="2"/>
        <scheme val="minor"/>
      </rPr>
      <t xml:space="preserve"> CHECKING IN EARLY BY NOON</t>
    </r>
  </si>
  <si>
    <t>October 7 to October 11</t>
  </si>
  <si>
    <t>Oct 22 to Oct 29</t>
  </si>
  <si>
    <t>Debra Coates</t>
  </si>
  <si>
    <t>debracoates@sky.com</t>
  </si>
  <si>
    <t>2 adults 2 children</t>
  </si>
  <si>
    <t>aug-27-16</t>
  </si>
  <si>
    <t>jstone154@sbcglobal.net</t>
  </si>
  <si>
    <r>
      <t xml:space="preserve">Jim &amp; Sharon Stone </t>
    </r>
    <r>
      <rPr>
        <sz val="11"/>
        <color rgb="FFFF0000"/>
        <rFont val="Calibri"/>
        <family val="2"/>
      </rPr>
      <t>(2 Interim Cleans arrange for that with Nickie) They came from our mailer about traveler fees. ALSO gave them $300 discount</t>
    </r>
  </si>
  <si>
    <t>Nov-22-16</t>
  </si>
  <si>
    <t>INC BIKES</t>
  </si>
  <si>
    <r>
      <t xml:space="preserve">John Zanino </t>
    </r>
    <r>
      <rPr>
        <sz val="11"/>
        <color rgb="FFFF0000"/>
        <rFont val="Calibri"/>
        <family val="2"/>
      </rPr>
      <t>(RET C)</t>
    </r>
  </si>
  <si>
    <t>greensladefamily@btinternet.com</t>
  </si>
  <si>
    <t>October 11 to October 22</t>
  </si>
  <si>
    <t>4 adults 3 children</t>
  </si>
  <si>
    <t>aug-16-16</t>
  </si>
  <si>
    <t>Oct 29 To Nove 5</t>
  </si>
  <si>
    <t>4 people</t>
  </si>
  <si>
    <t>Sep-3-16</t>
  </si>
  <si>
    <t>jpdeane@gmail.com</t>
  </si>
  <si>
    <t>A/D/F1/B/F2 /RR/TDONE</t>
  </si>
  <si>
    <t>April 1 to April 8</t>
  </si>
  <si>
    <t>kimcody74@gmail.com Kimberly.a.cody@lmco.com</t>
  </si>
  <si>
    <t>Kimberly Cody</t>
  </si>
  <si>
    <t>5 including 3 children</t>
  </si>
  <si>
    <t>A/D/F1/B/F2 …/PayPal included in price</t>
  </si>
  <si>
    <t>VHR</t>
  </si>
  <si>
    <t>Aug 19 to Aug 24</t>
  </si>
  <si>
    <t>ian schiffer</t>
  </si>
  <si>
    <t>june-17-16</t>
  </si>
  <si>
    <t>i.r.schiffer@gmail.com vgschiffer@gmail.com</t>
  </si>
  <si>
    <r>
      <t>A/D/F1/B/F2/</t>
    </r>
    <r>
      <rPr>
        <sz val="11"/>
        <color rgb="FFFF0000"/>
        <rFont val="Calibri"/>
        <family val="2"/>
        <scheme val="minor"/>
      </rPr>
      <t>RTI</t>
    </r>
  </si>
  <si>
    <t>March 24 to March 26</t>
  </si>
  <si>
    <t>Feb 27 to March 20</t>
  </si>
  <si>
    <r>
      <t>Lisa Donelly</t>
    </r>
    <r>
      <rPr>
        <b/>
        <sz val="11"/>
        <color rgb="FFFF0000"/>
        <rFont val="Calibri"/>
        <family val="2"/>
      </rPr>
      <t xml:space="preserve"> CANCELED</t>
    </r>
  </si>
  <si>
    <r>
      <rPr>
        <b/>
        <sz val="11"/>
        <color rgb="FFFF0000"/>
        <rFont val="Calibri"/>
        <family val="2"/>
        <scheme val="minor"/>
      </rPr>
      <t>CANCELED</t>
    </r>
    <r>
      <rPr>
        <sz val="11"/>
        <color theme="1"/>
        <rFont val="Calibri"/>
        <family val="2"/>
        <scheme val="minor"/>
      </rPr>
      <t xml:space="preserve"> Judy Cerett Mullett </t>
    </r>
    <r>
      <rPr>
        <b/>
        <sz val="11"/>
        <color rgb="FFFF0000"/>
        <rFont val="Calibri"/>
        <family val="2"/>
        <scheme val="minor"/>
      </rPr>
      <t>(RC)</t>
    </r>
  </si>
  <si>
    <r>
      <rPr>
        <b/>
        <sz val="11"/>
        <color rgb="FFFF0000"/>
        <rFont val="Calibri"/>
        <family val="2"/>
        <scheme val="minor"/>
      </rPr>
      <t>CANCELED</t>
    </r>
    <r>
      <rPr>
        <sz val="11"/>
        <color theme="1"/>
        <rFont val="Calibri"/>
        <family val="2"/>
        <scheme val="minor"/>
      </rPr>
      <t xml:space="preserve"> June 18 to June 25</t>
    </r>
  </si>
  <si>
    <r>
      <rPr>
        <b/>
        <sz val="11"/>
        <color rgb="FFFF0000"/>
        <rFont val="Calibri"/>
        <family val="2"/>
        <scheme val="minor"/>
      </rPr>
      <t xml:space="preserve">CANCELED </t>
    </r>
    <r>
      <rPr>
        <sz val="11"/>
        <color theme="1"/>
        <rFont val="Calibri"/>
        <family val="2"/>
        <scheme val="minor"/>
      </rPr>
      <t>April-23-16</t>
    </r>
  </si>
  <si>
    <t>Jane Lewis</t>
  </si>
  <si>
    <t>dusmlewis@hotmail.com</t>
  </si>
  <si>
    <t>FS</t>
  </si>
  <si>
    <t>March 26, to April 2</t>
  </si>
  <si>
    <t>6 incc 2 children</t>
  </si>
  <si>
    <t>YES Paid $100</t>
  </si>
  <si>
    <t>Ja-29-17</t>
  </si>
  <si>
    <r>
      <t>Brian Kremer (</t>
    </r>
    <r>
      <rPr>
        <sz val="11"/>
        <color rgb="FFFF0000"/>
        <rFont val="Calibri"/>
        <family val="2"/>
      </rPr>
      <t>ret Guest</t>
    </r>
    <r>
      <rPr>
        <sz val="11"/>
        <rFont val="Calibri"/>
        <family val="2"/>
      </rPr>
      <t>)</t>
    </r>
  </si>
  <si>
    <t>Oct-9-16</t>
  </si>
  <si>
    <t xml:space="preserve"> A/D/F1/B/F2/Tdone</t>
  </si>
  <si>
    <t>4 Adults</t>
  </si>
  <si>
    <t xml:space="preserve">A/D/F1/ B/F2 </t>
  </si>
  <si>
    <t>A/D/B/F2/RR</t>
  </si>
  <si>
    <t>May 25 to May 31 CLEAN ON 31 leaving on te 30</t>
  </si>
  <si>
    <t>overheadoorstan@netsync.net  mudshark@hughes.net</t>
  </si>
  <si>
    <r>
      <t xml:space="preserve">Stan Martinelli </t>
    </r>
    <r>
      <rPr>
        <b/>
        <sz val="11"/>
        <color rgb="FFFF0000"/>
        <rFont val="Calibri"/>
        <family val="2"/>
      </rPr>
      <t>(SHE FELL AND BROKE BOTH HER RISTS LEAVING REFUNDING ALL BUT 2 DAYS or $2,156)</t>
    </r>
  </si>
  <si>
    <t>3 inc one teen</t>
  </si>
  <si>
    <t>Mark Boynton (RC)</t>
  </si>
  <si>
    <t>FH-OD</t>
  </si>
  <si>
    <t>November 13, to November 21</t>
  </si>
  <si>
    <t>Sep-19-16</t>
  </si>
  <si>
    <t>A/D/B/F2/REFUNDED $1,697.  Kept rest for the 2 days rental plus pool plus clean tax and paypal</t>
  </si>
  <si>
    <t>Ana Teixeira</t>
  </si>
  <si>
    <t>anateixeira0975@gmail.com</t>
  </si>
  <si>
    <t>June 18 to 23</t>
  </si>
  <si>
    <t>5 inc 2 kids</t>
  </si>
  <si>
    <t>Jan 13 to 16</t>
  </si>
  <si>
    <t>PayPal Inc PAID/F2</t>
  </si>
  <si>
    <t>Christi Hamlin</t>
  </si>
  <si>
    <t>June 29 to July 3</t>
  </si>
  <si>
    <t>bunchacats2@yahoo.com</t>
  </si>
  <si>
    <t>A/D/B/F2</t>
  </si>
  <si>
    <t>leejoyce4444@comcast.net</t>
  </si>
  <si>
    <t>FH-VR</t>
  </si>
  <si>
    <t>Nov 5 to Nov 12</t>
  </si>
  <si>
    <t>Sep-10-16</t>
  </si>
  <si>
    <t>A/D/F1?B/F2/T</t>
  </si>
  <si>
    <t xml:space="preserve"> Dec 25 to Jan 2 CLEAN ON JAN 3</t>
  </si>
  <si>
    <t>June 18 to 25</t>
  </si>
  <si>
    <t>David and Nicki Banks</t>
  </si>
  <si>
    <t>djbanks1@gmail.com NKGUENTH@UP.COM</t>
  </si>
  <si>
    <t>3 adults 4 children</t>
  </si>
  <si>
    <t>Pat599@aol.com</t>
  </si>
  <si>
    <t>Dec 17 to Dec 24</t>
  </si>
  <si>
    <t>Oct-22-16</t>
  </si>
  <si>
    <t>Jan 3 to Jan 10</t>
  </si>
  <si>
    <t>Martin Gracie</t>
  </si>
  <si>
    <t>martingracie@hotmail.co.uk</t>
  </si>
  <si>
    <t>2 Adults</t>
  </si>
  <si>
    <t>Nov-4-16</t>
  </si>
  <si>
    <r>
      <t>John Deane</t>
    </r>
    <r>
      <rPr>
        <b/>
        <sz val="11"/>
        <color rgb="FFFF0000"/>
        <rFont val="Calibri"/>
        <family val="2"/>
      </rPr>
      <t xml:space="preserve"> Leaving 11 am</t>
    </r>
  </si>
  <si>
    <t>April 22 to April 29</t>
  </si>
  <si>
    <t>fourtugs@aol.com</t>
  </si>
  <si>
    <t>Ronald Tugwell</t>
  </si>
  <si>
    <t>feb-21-17</t>
  </si>
  <si>
    <r>
      <t xml:space="preserve">Jenni Greenslade </t>
    </r>
    <r>
      <rPr>
        <b/>
        <sz val="16"/>
        <color rgb="FFFF0000"/>
        <rFont val="Calibri"/>
        <family val="2"/>
        <scheme val="minor"/>
      </rPr>
      <t>PIGS NEVER AGAIN</t>
    </r>
  </si>
  <si>
    <t xml:space="preserve"> A/D/F1/B/F2/T</t>
  </si>
  <si>
    <r>
      <t xml:space="preserve">October 6 to October 9 </t>
    </r>
    <r>
      <rPr>
        <b/>
        <sz val="11"/>
        <color rgb="FFFF0000"/>
        <rFont val="Calibri"/>
        <family val="2"/>
        <scheme val="minor"/>
      </rPr>
      <t>clean october 10</t>
    </r>
  </si>
  <si>
    <r>
      <t xml:space="preserve">Lee Gehman Jr. </t>
    </r>
    <r>
      <rPr>
        <b/>
        <sz val="11"/>
        <color rgb="FFFF0000"/>
        <rFont val="Calibri"/>
        <family val="2"/>
        <scheme val="minor"/>
      </rPr>
      <t>WANTS TO BOOK NEXT OCTOBER</t>
    </r>
  </si>
  <si>
    <t xml:space="preserve">Lee Gehman Jr. </t>
  </si>
  <si>
    <t>Oct 28 to Nov 4</t>
  </si>
  <si>
    <t>A/D/F1/B/F2/RTINFO</t>
  </si>
  <si>
    <t>A/D/F1/B/F2/Kept deposit for next year</t>
  </si>
  <si>
    <t>December 4 to 17</t>
  </si>
  <si>
    <t>Jan 4 2017…. July 4 2016- Pay $2117  GOT A CHECK!!!! …. Then Jan 4 2017 another $3373… SENT PAYPAL WAITING</t>
  </si>
  <si>
    <t>D/ B/F2</t>
  </si>
  <si>
    <r>
      <t xml:space="preserve">January 16 to February 17 </t>
    </r>
    <r>
      <rPr>
        <b/>
        <sz val="11"/>
        <color rgb="FFFF0000"/>
        <rFont val="Calibri"/>
        <family val="2"/>
        <scheme val="minor"/>
      </rPr>
      <t>Leaving at 12 PM</t>
    </r>
  </si>
  <si>
    <r>
      <t xml:space="preserve">Patty Darby </t>
    </r>
    <r>
      <rPr>
        <b/>
        <sz val="11"/>
        <color rgb="FFFF0000"/>
        <rFont val="Calibri"/>
        <family val="2"/>
      </rPr>
      <t>CANCELED AT THE LST MOMENT I refunded anyway</t>
    </r>
  </si>
  <si>
    <t>Dec 25 to Jan1 clean on Jan 2</t>
  </si>
  <si>
    <t>Jan 12 to 15</t>
  </si>
  <si>
    <t>FIX ON CALENDARS</t>
  </si>
  <si>
    <t>June 10 to 16</t>
  </si>
  <si>
    <t>apr-15-17</t>
  </si>
  <si>
    <t>Christy@bxbenefits.com</t>
  </si>
  <si>
    <t>Christy Boehm</t>
  </si>
  <si>
    <t>April 3 to April 7</t>
  </si>
  <si>
    <t>ccbaumgartner@gmail.com</t>
  </si>
  <si>
    <t>260-515-5934</t>
  </si>
  <si>
    <t>Chris Baumgartner</t>
  </si>
  <si>
    <t>May 13 to 21</t>
  </si>
  <si>
    <t>Stephanie Hudson</t>
  </si>
  <si>
    <t>shudson1222@yahoo.com      2177414598</t>
  </si>
  <si>
    <t>Mar-14-17</t>
  </si>
  <si>
    <t>Brian Kremer (ret Guest)</t>
  </si>
  <si>
    <t>A/D/F1/B/F2/RR+Tinfo</t>
  </si>
  <si>
    <t>December 3 to 16</t>
  </si>
  <si>
    <t>8-0ct</t>
  </si>
  <si>
    <t>March 20 to March 24</t>
  </si>
  <si>
    <t>1 adult</t>
  </si>
  <si>
    <t>ktlamb19@comcast.net</t>
  </si>
  <si>
    <t>Katie Lamb</t>
  </si>
  <si>
    <t>Jan 27 to  Feb 16</t>
  </si>
  <si>
    <t>Vito Lenoci</t>
  </si>
  <si>
    <t>Nov 4 to Nov 13</t>
  </si>
  <si>
    <t>1 adult 4 nights then 5 adults 5 nights</t>
  </si>
  <si>
    <t>June25 to July 1</t>
  </si>
  <si>
    <t>5 adults 2 kids</t>
  </si>
  <si>
    <t>howard.kim@sbcglobal.net</t>
  </si>
  <si>
    <t>Jan 20 to 27</t>
  </si>
  <si>
    <t>Douglas Hayes</t>
  </si>
  <si>
    <t>6 adults</t>
  </si>
  <si>
    <t>Elaine Norkus</t>
  </si>
  <si>
    <t>enorkus@outlook.com</t>
  </si>
  <si>
    <t>April 17 to April 22</t>
  </si>
  <si>
    <t>reminder</t>
  </si>
  <si>
    <t xml:space="preserve"> A /D?B?F2/T</t>
  </si>
  <si>
    <t>ALL PAID UP….  DUE NOWMay 25 2017….Aug 5 2016  (PAID ONLY 976) on Aug 5, 2016 PAY ANOTHER 976 (sent PayPal AND HE PAID ) then balance of $4,405 balance on May 25, 2017</t>
  </si>
  <si>
    <r>
      <t xml:space="preserve">August </t>
    </r>
    <r>
      <rPr>
        <b/>
        <sz val="11"/>
        <color rgb="FFFF0000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 xml:space="preserve"> to 26</t>
    </r>
  </si>
  <si>
    <t>A/D/B/F2/</t>
  </si>
  <si>
    <t>Howard Kim (cut leather chair.  Do not allow back)</t>
  </si>
  <si>
    <t>Nov 22 to 26 LATE clean 27th</t>
  </si>
  <si>
    <t>May 25 to 28 Clean 29th</t>
  </si>
  <si>
    <t>NA'</t>
  </si>
  <si>
    <t>Aug 31 to Sep 3 clean sep 4</t>
  </si>
  <si>
    <t>Oct 5 to 8 clean oct 9</t>
  </si>
  <si>
    <t>Nove 21 to 25</t>
  </si>
  <si>
    <t>Dec 25 to Jan 1</t>
  </si>
  <si>
    <t>March work around bookin gs</t>
  </si>
  <si>
    <t>May 24 to 27 clean 28</t>
  </si>
  <si>
    <t>June probably not because Jason Graduates</t>
  </si>
  <si>
    <t>July 7 to August 11</t>
  </si>
  <si>
    <t>Feb 15 to 23.  dag and jason leave 19  then paul till 23</t>
  </si>
  <si>
    <t>drummerdoug2112@gmail.com</t>
  </si>
  <si>
    <t>Francesajones@onetel.com  44 7979 706450</t>
  </si>
  <si>
    <t>Frances Jones-Willcocks</t>
  </si>
  <si>
    <t>PAID</t>
  </si>
  <si>
    <t>December 16 to 24</t>
  </si>
  <si>
    <t>David Quest</t>
  </si>
  <si>
    <t>david@quest-estates.uk  44 7968 736622</t>
  </si>
  <si>
    <t>3 including 1 child</t>
  </si>
  <si>
    <t>steven-hewitt@sky.com  jtowell11@yahoo.co.uk &lt;-- Melanies mom Janet</t>
  </si>
  <si>
    <t>feb 8 to 15</t>
  </si>
  <si>
    <t>Paul &amp; Beverley Durkin</t>
  </si>
  <si>
    <r>
      <t>2, adults  (</t>
    </r>
    <r>
      <rPr>
        <b/>
        <sz val="11"/>
        <color rgb="FFFF0000"/>
        <rFont val="Calibri"/>
        <family val="2"/>
        <scheme val="minor"/>
      </rPr>
      <t>UNLOCK BIKES</t>
    </r>
    <r>
      <rPr>
        <sz val="11"/>
        <color theme="1"/>
        <rFont val="Calibri"/>
        <family val="2"/>
        <scheme val="minor"/>
      </rPr>
      <t>)-give them code</t>
    </r>
  </si>
  <si>
    <t>YES</t>
  </si>
  <si>
    <t>Dec-14-2018</t>
  </si>
  <si>
    <t>October 21, to 27</t>
  </si>
  <si>
    <t>Nicolle Tomljenovic</t>
  </si>
  <si>
    <t>ntr0228@gmail.com</t>
  </si>
  <si>
    <t>2 daults 1 child</t>
  </si>
  <si>
    <t>jenlo5725@gmail.com</t>
  </si>
  <si>
    <r>
      <t>Paul  Ward (DEPOSIT FOR 2018 HELD)  (great famely)  (</t>
    </r>
    <r>
      <rPr>
        <sz val="11"/>
        <color rgb="FFFF0000"/>
        <rFont val="Calibri"/>
        <family val="2"/>
        <scheme val="minor"/>
      </rPr>
      <t>RC</t>
    </r>
    <r>
      <rPr>
        <sz val="11"/>
        <color rgb="FF2A2A2A"/>
        <rFont val="Calibri"/>
        <family val="2"/>
        <scheme val="minor"/>
      </rPr>
      <t>) Kept 500 deposit AGAIN!!!!!as the deposit SEE E-MAIL… they added 2 days so it became 2356</t>
    </r>
  </si>
  <si>
    <t>vito.lenoci@lenocifragrancegroup.com ilenoci49@aim.com</t>
  </si>
  <si>
    <t>ASSWHOLES</t>
  </si>
  <si>
    <t>March 7, to March 11</t>
  </si>
  <si>
    <t>johnkokai@yahoo.com</t>
  </si>
  <si>
    <t>6-Jan</t>
  </si>
  <si>
    <t>RC</t>
  </si>
  <si>
    <t>May 12 to May 19</t>
  </si>
  <si>
    <r>
      <t xml:space="preserve">Eddie Malinowski  </t>
    </r>
    <r>
      <rPr>
        <b/>
        <sz val="11"/>
        <color rgb="FFFF0000"/>
        <rFont val="Calibri"/>
        <family val="2"/>
        <scheme val="minor"/>
      </rPr>
      <t>RC</t>
    </r>
  </si>
  <si>
    <t>17-Mar</t>
  </si>
  <si>
    <t>April 2 to April 7</t>
  </si>
  <si>
    <t>Sarah Just</t>
  </si>
  <si>
    <t>sarah.just@yahoo.com</t>
  </si>
  <si>
    <t>CHANGED 13, to 20 October-----LEAVING LATE 12PM...…..WAS….October 14 to 21</t>
  </si>
  <si>
    <t xml:space="preserve">February 25, to March 4 </t>
  </si>
  <si>
    <t>4 adults 2 kids</t>
  </si>
  <si>
    <t>March 12, to March 19</t>
  </si>
  <si>
    <r>
      <t>Chris Jackson (</t>
    </r>
    <r>
      <rPr>
        <b/>
        <sz val="11"/>
        <color rgb="FFFF0000"/>
        <rFont val="Calibri"/>
        <family val="2"/>
      </rPr>
      <t>HAVE A BABY SETUP BABY COT</t>
    </r>
    <r>
      <rPr>
        <sz val="11"/>
        <rFont val="Calibri"/>
        <family val="2"/>
      </rPr>
      <t>)</t>
    </r>
  </si>
  <si>
    <t>June 9 to 16</t>
  </si>
  <si>
    <t>Jerry Townson</t>
  </si>
  <si>
    <t>jerry@gtweb.net</t>
  </si>
  <si>
    <t>2adults</t>
  </si>
  <si>
    <t>Jan 2 to Jan 7</t>
  </si>
  <si>
    <t>john2924@sbcglobal.net (203) 537-2412</t>
  </si>
  <si>
    <t>John Williams</t>
  </si>
  <si>
    <t>5 adults</t>
  </si>
  <si>
    <t>bcalsphone@gmail.com</t>
  </si>
  <si>
    <t>Beth Calaway</t>
  </si>
  <si>
    <t>January 7, to January 12</t>
  </si>
  <si>
    <t>7 adults</t>
  </si>
  <si>
    <t>A/D/F1/B/T</t>
  </si>
  <si>
    <t>Jennifer Francis (CHANGE MAR 25 to Mar 30)</t>
  </si>
  <si>
    <t>John Kokai (IN EARLY)</t>
  </si>
  <si>
    <t>March 25 (CHANGED NOW MAR 25 to MAR 30)24 to March 29</t>
  </si>
  <si>
    <t>Michael Theodore</t>
  </si>
  <si>
    <t>mhtheo@gmail.com</t>
  </si>
  <si>
    <t>March 20 to 25</t>
  </si>
  <si>
    <t>2 aduts 2 teens</t>
  </si>
  <si>
    <t>April 28 to May 4</t>
  </si>
  <si>
    <t>Norman Ruppert</t>
  </si>
  <si>
    <t>ncrocki@woh.rr.com (937) 271-0891</t>
  </si>
  <si>
    <t>A/D/F2/T</t>
  </si>
  <si>
    <t>March 30 to Apr 1 CLEAN April 2</t>
  </si>
  <si>
    <t>Feb 16 to 20</t>
  </si>
  <si>
    <t>Feb 21 to Feb 25</t>
  </si>
  <si>
    <r>
      <t>Dos Santos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CLEAN NEXT DAY the 21st</t>
    </r>
  </si>
  <si>
    <r>
      <t>Craig Roberto</t>
    </r>
    <r>
      <rPr>
        <b/>
        <sz val="11"/>
        <color rgb="FFFF0000"/>
        <rFont val="Arial"/>
        <family val="2"/>
      </rPr>
      <t xml:space="preserve"> ARRIVING EARLY 12PM</t>
    </r>
  </si>
  <si>
    <t>NOW-PAID</t>
  </si>
  <si>
    <t>pblavs@hotmail.com   2627191341</t>
  </si>
  <si>
    <t>3 adults 2 kids</t>
  </si>
  <si>
    <t>feb-21-19</t>
  </si>
  <si>
    <t>March 24, to 31</t>
  </si>
  <si>
    <t>David Banks</t>
  </si>
  <si>
    <t>crobo21@gmail.com  516) 581-1202</t>
  </si>
  <si>
    <t>Jan-27-19</t>
  </si>
  <si>
    <t>Jim Stone (RC) kept deposit for 2019 will send dates</t>
  </si>
  <si>
    <t>CANCELED Pat Blavat</t>
  </si>
  <si>
    <t>CANCELED</t>
  </si>
  <si>
    <r>
      <rPr>
        <b/>
        <sz val="14"/>
        <color rgb="FFFF0000"/>
        <rFont val="Calibri"/>
        <family val="2"/>
        <scheme val="minor"/>
      </rPr>
      <t>CANCELED</t>
    </r>
    <r>
      <rPr>
        <sz val="14"/>
        <rFont val="Calibri"/>
        <family val="2"/>
        <scheme val="minor"/>
      </rPr>
      <t xml:space="preserve">                April 22 to April 28 </t>
    </r>
  </si>
  <si>
    <r>
      <rPr>
        <b/>
        <sz val="11"/>
        <color rgb="FFFF0000"/>
        <rFont val="Calibri"/>
        <family val="2"/>
        <scheme val="minor"/>
      </rPr>
      <t>DAMAGED THE BAR STOOLS then complained to HA NO BACK EVER</t>
    </r>
    <r>
      <rPr>
        <sz val="11"/>
        <color theme="1"/>
        <rFont val="Calibri"/>
        <family val="2"/>
        <scheme val="minor"/>
      </rPr>
      <t xml:space="preserve">  4 adults 2 kids</t>
    </r>
  </si>
  <si>
    <r>
      <t>Kristin Kem</t>
    </r>
    <r>
      <rPr>
        <b/>
        <sz val="11"/>
        <color rgb="FFFF0000"/>
        <rFont val="Calibri"/>
        <family val="2"/>
        <scheme val="minor"/>
      </rPr>
      <t>ezys--thomas videyko SETUP BABY PACK AND PLAY</t>
    </r>
  </si>
  <si>
    <t>kristin.kemezys@gmail.com  anthony@wei.com 603 718 1232</t>
  </si>
  <si>
    <t>chrisjjacks@gmail.com  chrisjjackson@rogers.com</t>
  </si>
  <si>
    <t>june 26 to june jul 1</t>
  </si>
  <si>
    <t xml:space="preserve"> July 18 to August 15</t>
  </si>
  <si>
    <t>July 1 to July 5</t>
  </si>
  <si>
    <t>Steve Wallace</t>
  </si>
  <si>
    <t>1983swallace@gmail.com</t>
  </si>
  <si>
    <t>Michael Foley</t>
  </si>
  <si>
    <t>2 adults 2 kids</t>
  </si>
  <si>
    <t>mffoley1@comcast.net</t>
  </si>
  <si>
    <t>Jan-7-19</t>
  </si>
  <si>
    <t>A/D/F1/B/F2/ RR + T INFO</t>
  </si>
  <si>
    <t>Jan 18 to 21</t>
  </si>
  <si>
    <t>Jan 21 to Feb 8</t>
  </si>
  <si>
    <t xml:space="preserve">April 18 to april 22 </t>
  </si>
  <si>
    <t>Nov 8 to 18</t>
  </si>
  <si>
    <t>kwoods8091@comcast.net  (603) 608-8199</t>
  </si>
  <si>
    <t>Kimberly Woods</t>
  </si>
  <si>
    <t>April 12 to 21 clean 22</t>
  </si>
  <si>
    <t>3 adults</t>
  </si>
  <si>
    <t>June 17 to June 23</t>
  </si>
  <si>
    <t>2 adults 4 children</t>
  </si>
  <si>
    <t>djebaugh79@gmail.com  (330) 241-9863</t>
  </si>
  <si>
    <t>David Ebaugh</t>
  </si>
  <si>
    <t xml:space="preserve">NOW </t>
  </si>
  <si>
    <t>A/D/F1 Missing pool releases</t>
  </si>
  <si>
    <t>/RR+T infoA/D/F1/B/F2</t>
  </si>
  <si>
    <t>Feb 26 to March 4</t>
  </si>
  <si>
    <t/>
  </si>
  <si>
    <t>tduffy10@googlemail.com  44 7767023961</t>
  </si>
  <si>
    <r>
      <t>Tracey Duffy (</t>
    </r>
    <r>
      <rPr>
        <b/>
        <sz val="10"/>
        <color rgb="FFFF0000"/>
        <rFont val="Arial"/>
        <family val="2"/>
      </rPr>
      <t>RC</t>
    </r>
    <r>
      <rPr>
        <sz val="10"/>
        <color rgb="FF323F4D"/>
        <rFont val="Arial"/>
        <family val="2"/>
      </rPr>
      <t>)</t>
    </r>
  </si>
  <si>
    <t>A/D/F1/B/F2  - Rtinfo</t>
  </si>
  <si>
    <t>A/D/F1/B/F2/RR+TINFO</t>
  </si>
  <si>
    <t>A/D/B/F2/RTINFO</t>
  </si>
  <si>
    <t>cortney.clements@gmail.com</t>
  </si>
  <si>
    <t>FHA</t>
  </si>
  <si>
    <t>August 18 to 25</t>
  </si>
  <si>
    <t>3 adults 3 kids</t>
  </si>
  <si>
    <t>A/P/F2</t>
  </si>
  <si>
    <t>Cortney Clements EARLY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</si>
</sst>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67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2"/>
      <color indexed="63"/>
      <name val="Calibri"/>
      <family val="2"/>
    </font>
    <font>
      <sz val="12"/>
      <color indexed="8"/>
      <name val="Calibri"/>
      <family val="2"/>
    </font>
    <font>
      <sz val="12"/>
      <color indexed="8"/>
      <name val="Segoe UI"/>
      <family val="2"/>
    </font>
    <font>
      <sz val="12"/>
      <color indexed="63"/>
      <name val="Segoe UI"/>
      <family val="2"/>
    </font>
    <font>
      <sz val="10"/>
      <color indexed="8"/>
      <name val="Segoe UI"/>
      <family val="2"/>
    </font>
    <font>
      <b/>
      <sz val="12"/>
      <color indexed="10"/>
      <name val="Verdana"/>
      <family val="2"/>
    </font>
    <font>
      <sz val="11"/>
      <color indexed="63"/>
      <name val="Calibri"/>
      <family val="2"/>
    </font>
    <font>
      <sz val="11"/>
      <color indexed="8"/>
      <name val="Arial"/>
      <family val="2"/>
    </font>
    <font>
      <b/>
      <sz val="18"/>
      <color indexed="10"/>
      <name val="Calibri"/>
      <family val="2"/>
    </font>
    <font>
      <b/>
      <sz val="11"/>
      <color indexed="8"/>
      <name val="Calibri"/>
      <family val="2"/>
    </font>
    <font>
      <sz val="14"/>
      <color indexed="10"/>
      <name val="Calibri"/>
      <family val="2"/>
    </font>
    <font>
      <b/>
      <sz val="10"/>
      <color indexed="10"/>
      <name val="Verdana"/>
      <family val="2"/>
    </font>
    <font>
      <sz val="12"/>
      <color indexed="8"/>
      <name val="Times New Roman"/>
      <family val="1"/>
    </font>
    <font>
      <sz val="9.1"/>
      <color indexed="63"/>
      <name val="Segoe UI"/>
      <family val="2"/>
    </font>
    <font>
      <sz val="8"/>
      <name val="Calibri"/>
      <family val="2"/>
    </font>
    <font>
      <u/>
      <sz val="8.8000000000000007"/>
      <color theme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63"/>
      <name val="Calibri"/>
      <family val="2"/>
      <scheme val="minor"/>
    </font>
    <font>
      <sz val="11"/>
      <color rgb="FF2A2A2A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1F497D"/>
      <name val="Calibri"/>
      <family val="2"/>
    </font>
    <font>
      <b/>
      <u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2"/>
      <color rgb="FF000000"/>
      <name val="Times New Roman"/>
      <family val="1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2A2A2A"/>
      <name val="Calibri"/>
      <family val="2"/>
      <scheme val="minor"/>
    </font>
    <font>
      <b/>
      <sz val="10"/>
      <color indexed="8"/>
      <name val="Segoe UI"/>
      <family val="2"/>
    </font>
    <font>
      <sz val="11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666666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Segoe U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2"/>
      <color rgb="FF000000"/>
      <name val="Arial"/>
      <family val="2"/>
    </font>
    <font>
      <sz val="11"/>
      <color rgb="FF353E44"/>
      <name val="Arial"/>
      <family val="2"/>
    </font>
    <font>
      <sz val="11"/>
      <color rgb="FF333333"/>
      <name val="Arial"/>
      <family val="2"/>
    </font>
    <font>
      <sz val="9.65"/>
      <color rgb="FF000000"/>
      <name val="Segoe UI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9"/>
      <color rgb="FF212121"/>
      <name val="Segoe UI"/>
      <family val="2"/>
    </font>
    <font>
      <sz val="11"/>
      <color rgb="FF212121"/>
      <name val="Calibri"/>
      <family val="2"/>
      <scheme val="minor"/>
    </font>
    <font>
      <b/>
      <sz val="11"/>
      <color rgb="FFFF0000"/>
      <name val="Arial"/>
      <family val="2"/>
    </font>
    <font>
      <b/>
      <sz val="8"/>
      <color rgb="FF333333"/>
      <name val="Arial"/>
      <family val="2"/>
    </font>
    <font>
      <sz val="11"/>
      <name val="Arial"/>
      <family val="2"/>
    </font>
    <font>
      <sz val="10"/>
      <color rgb="FF323F4D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9E70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83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16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0" fillId="0" borderId="0" xfId="0" applyFont="1" applyAlignment="1">
      <alignment horizontal="right"/>
    </xf>
    <xf numFmtId="0" fontId="14" fillId="0" borderId="0" xfId="0" applyFont="1"/>
    <xf numFmtId="0" fontId="0" fillId="2" borderId="0" xfId="0" applyFill="1"/>
    <xf numFmtId="0" fontId="0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right"/>
    </xf>
    <xf numFmtId="16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right"/>
    </xf>
    <xf numFmtId="0" fontId="15" fillId="3" borderId="0" xfId="0" applyFont="1" applyFill="1"/>
    <xf numFmtId="0" fontId="5" fillId="3" borderId="0" xfId="0" applyFont="1" applyFill="1"/>
    <xf numFmtId="0" fontId="0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3" borderId="0" xfId="0" applyFont="1" applyFill="1"/>
    <xf numFmtId="0" fontId="0" fillId="3" borderId="0" xfId="0" applyFill="1" applyAlignment="1">
      <alignment horizontal="right"/>
    </xf>
    <xf numFmtId="16" fontId="0" fillId="3" borderId="0" xfId="0" applyNumberForma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4" borderId="0" xfId="0" applyFill="1"/>
    <xf numFmtId="0" fontId="0" fillId="4" borderId="0" xfId="0" applyFont="1" applyFill="1"/>
    <xf numFmtId="0" fontId="5" fillId="4" borderId="0" xfId="0" applyFont="1" applyFill="1"/>
    <xf numFmtId="0" fontId="0" fillId="4" borderId="0" xfId="0" applyFill="1" applyAlignment="1">
      <alignment horizontal="left"/>
    </xf>
    <xf numFmtId="0" fontId="2" fillId="4" borderId="0" xfId="0" applyFont="1" applyFill="1"/>
    <xf numFmtId="0" fontId="0" fillId="4" borderId="0" xfId="0" applyFill="1" applyAlignment="1">
      <alignment horizontal="right"/>
    </xf>
    <xf numFmtId="16" fontId="0" fillId="4" borderId="0" xfId="0" applyNumberForma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5" borderId="0" xfId="0" applyFill="1"/>
    <xf numFmtId="0" fontId="0" fillId="5" borderId="0" xfId="0" applyFont="1" applyFill="1"/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ill="1"/>
    <xf numFmtId="0" fontId="16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/>
    <xf numFmtId="0" fontId="13" fillId="0" borderId="0" xfId="0" applyFont="1" applyAlignment="1"/>
    <xf numFmtId="2" fontId="17" fillId="0" borderId="0" xfId="0" applyNumberFormat="1" applyFont="1"/>
    <xf numFmtId="16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5" borderId="0" xfId="0" applyFont="1" applyFill="1"/>
    <xf numFmtId="0" fontId="1" fillId="5" borderId="0" xfId="0" applyFont="1" applyFill="1"/>
    <xf numFmtId="0" fontId="4" fillId="5" borderId="0" xfId="0" applyFont="1" applyFill="1" applyAlignment="1">
      <alignment horizontal="right"/>
    </xf>
    <xf numFmtId="2" fontId="16" fillId="0" borderId="0" xfId="0" applyNumberFormat="1" applyFont="1"/>
    <xf numFmtId="0" fontId="0" fillId="0" borderId="0" xfId="0" applyAlignment="1">
      <alignment horizontal="center"/>
    </xf>
    <xf numFmtId="0" fontId="0" fillId="7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ont="1" applyAlignment="1">
      <alignment horizontal="center"/>
    </xf>
    <xf numFmtId="0" fontId="0" fillId="5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1" fontId="0" fillId="3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1" fontId="0" fillId="5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0" borderId="0" xfId="0" applyNumberFormat="1"/>
    <xf numFmtId="165" fontId="0" fillId="0" borderId="0" xfId="0" applyNumberFormat="1"/>
    <xf numFmtId="0" fontId="1" fillId="3" borderId="0" xfId="0" applyFont="1" applyFill="1" applyAlignment="1">
      <alignment horizontal="left"/>
    </xf>
    <xf numFmtId="16" fontId="1" fillId="5" borderId="0" xfId="0" applyNumberFormat="1" applyFont="1" applyFill="1" applyAlignment="1">
      <alignment horizontal="left"/>
    </xf>
    <xf numFmtId="165" fontId="1" fillId="5" borderId="0" xfId="0" applyNumberFormat="1" applyFont="1" applyFill="1"/>
    <xf numFmtId="165" fontId="1" fillId="0" borderId="0" xfId="0" applyNumberFormat="1" applyFont="1"/>
    <xf numFmtId="165" fontId="1" fillId="5" borderId="0" xfId="0" applyNumberFormat="1" applyFont="1" applyFill="1" applyAlignment="1">
      <alignment horizontal="right"/>
    </xf>
    <xf numFmtId="16" fontId="1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1" fillId="0" borderId="0" xfId="0" applyFont="1" applyFill="1"/>
    <xf numFmtId="1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165" fontId="4" fillId="0" borderId="0" xfId="0" applyNumberFormat="1" applyFont="1"/>
    <xf numFmtId="0" fontId="4" fillId="0" borderId="0" xfId="0" applyFont="1"/>
    <xf numFmtId="0" fontId="1" fillId="3" borderId="0" xfId="0" applyFont="1" applyFill="1"/>
    <xf numFmtId="0" fontId="4" fillId="3" borderId="0" xfId="0" applyFont="1" applyFill="1" applyAlignment="1">
      <alignment horizontal="right"/>
    </xf>
    <xf numFmtId="1" fontId="0" fillId="3" borderId="0" xfId="0" applyNumberFormat="1" applyFill="1"/>
    <xf numFmtId="0" fontId="2" fillId="0" borderId="0" xfId="0" applyFont="1" applyFill="1"/>
    <xf numFmtId="0" fontId="0" fillId="0" borderId="0" xfId="0" applyFont="1" applyFill="1" applyAlignment="1">
      <alignment horizontal="center"/>
    </xf>
    <xf numFmtId="1" fontId="0" fillId="0" borderId="0" xfId="0" applyNumberFormat="1" applyFill="1"/>
    <xf numFmtId="0" fontId="22" fillId="0" borderId="0" xfId="1" applyAlignment="1" applyProtection="1"/>
    <xf numFmtId="0" fontId="19" fillId="0" borderId="0" xfId="0" applyFont="1" applyFill="1"/>
    <xf numFmtId="0" fontId="20" fillId="0" borderId="0" xfId="0" applyFont="1"/>
    <xf numFmtId="0" fontId="0" fillId="0" borderId="0" xfId="0" applyFill="1" applyAlignment="1">
      <alignment vertical="top"/>
    </xf>
    <xf numFmtId="0" fontId="5" fillId="8" borderId="0" xfId="0" applyFont="1" applyFill="1"/>
    <xf numFmtId="0" fontId="0" fillId="8" borderId="0" xfId="0" applyFont="1" applyFill="1"/>
    <xf numFmtId="0" fontId="23" fillId="8" borderId="0" xfId="0" applyFont="1" applyFill="1"/>
    <xf numFmtId="0" fontId="24" fillId="0" borderId="0" xfId="0" applyFont="1"/>
    <xf numFmtId="0" fontId="0" fillId="10" borderId="0" xfId="0" applyFill="1" applyAlignment="1">
      <alignment horizontal="right"/>
    </xf>
    <xf numFmtId="0" fontId="0" fillId="8" borderId="0" xfId="0" applyFill="1"/>
    <xf numFmtId="0" fontId="23" fillId="0" borderId="0" xfId="0" applyFont="1" applyFill="1" applyAlignment="1">
      <alignment horizontal="left"/>
    </xf>
    <xf numFmtId="0" fontId="27" fillId="8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26" fillId="0" borderId="0" xfId="0" applyFont="1" applyFill="1"/>
    <xf numFmtId="0" fontId="0" fillId="12" borderId="0" xfId="0" applyFill="1"/>
    <xf numFmtId="0" fontId="0" fillId="13" borderId="0" xfId="0" applyFill="1"/>
    <xf numFmtId="0" fontId="0" fillId="9" borderId="0" xfId="0" applyFill="1"/>
    <xf numFmtId="0" fontId="0" fillId="11" borderId="0" xfId="0" applyFill="1"/>
    <xf numFmtId="16" fontId="5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vertical="center"/>
    </xf>
    <xf numFmtId="0" fontId="5" fillId="0" borderId="0" xfId="0" applyFont="1" applyFill="1" applyAlignment="1"/>
    <xf numFmtId="0" fontId="0" fillId="14" borderId="0" xfId="0" applyFill="1"/>
    <xf numFmtId="0" fontId="13" fillId="0" borderId="0" xfId="0" applyFont="1" applyFill="1"/>
    <xf numFmtId="1" fontId="16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left"/>
    </xf>
    <xf numFmtId="1" fontId="5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left"/>
    </xf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6" borderId="0" xfId="0" applyFont="1" applyFill="1"/>
    <xf numFmtId="0" fontId="5" fillId="16" borderId="0" xfId="0" applyFont="1" applyFill="1"/>
    <xf numFmtId="0" fontId="4" fillId="16" borderId="0" xfId="0" applyFont="1" applyFill="1" applyAlignment="1">
      <alignment horizontal="right"/>
    </xf>
    <xf numFmtId="0" fontId="1" fillId="16" borderId="0" xfId="0" applyFont="1" applyFill="1"/>
    <xf numFmtId="0" fontId="4" fillId="16" borderId="0" xfId="0" applyFont="1" applyFill="1"/>
    <xf numFmtId="0" fontId="3" fillId="16" borderId="0" xfId="0" applyFont="1" applyFill="1"/>
    <xf numFmtId="165" fontId="1" fillId="16" borderId="0" xfId="0" applyNumberFormat="1" applyFont="1" applyFill="1" applyAlignment="1">
      <alignment horizontal="right"/>
    </xf>
    <xf numFmtId="0" fontId="0" fillId="16" borderId="0" xfId="0" applyFill="1" applyAlignment="1">
      <alignment horizontal="right"/>
    </xf>
    <xf numFmtId="165" fontId="1" fillId="16" borderId="0" xfId="0" applyNumberFormat="1" applyFont="1" applyFill="1"/>
    <xf numFmtId="16" fontId="1" fillId="16" borderId="0" xfId="0" applyNumberFormat="1" applyFont="1" applyFill="1" applyAlignment="1">
      <alignment horizontal="left"/>
    </xf>
    <xf numFmtId="1" fontId="1" fillId="16" borderId="0" xfId="0" applyNumberFormat="1" applyFont="1" applyFill="1" applyAlignment="1">
      <alignment horizontal="left"/>
    </xf>
    <xf numFmtId="1" fontId="0" fillId="16" borderId="0" xfId="0" applyNumberFormat="1" applyFill="1" applyAlignment="1">
      <alignment horizontal="right"/>
    </xf>
    <xf numFmtId="0" fontId="1" fillId="16" borderId="0" xfId="0" applyFont="1" applyFill="1" applyAlignment="1">
      <alignment horizontal="right"/>
    </xf>
    <xf numFmtId="0" fontId="0" fillId="16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29" fillId="0" borderId="0" xfId="0" applyFont="1" applyFill="1"/>
    <xf numFmtId="0" fontId="23" fillId="0" borderId="0" xfId="0" applyFont="1" applyFill="1"/>
    <xf numFmtId="0" fontId="26" fillId="0" borderId="0" xfId="0" applyFont="1"/>
    <xf numFmtId="0" fontId="30" fillId="16" borderId="0" xfId="0" applyFont="1" applyFill="1"/>
    <xf numFmtId="0" fontId="18" fillId="5" borderId="0" xfId="0" applyFont="1" applyFill="1"/>
    <xf numFmtId="165" fontId="5" fillId="0" borderId="0" xfId="0" applyNumberFormat="1" applyFont="1" applyFill="1" applyAlignment="1">
      <alignment horizontal="right"/>
    </xf>
    <xf numFmtId="16" fontId="0" fillId="0" borderId="0" xfId="0" applyNumberFormat="1" applyFont="1" applyFill="1" applyAlignment="1">
      <alignment horizontal="right"/>
    </xf>
    <xf numFmtId="1" fontId="0" fillId="0" borderId="0" xfId="0" applyNumberFormat="1" applyFont="1" applyFill="1" applyAlignment="1">
      <alignment horizontal="right"/>
    </xf>
    <xf numFmtId="1" fontId="0" fillId="0" borderId="0" xfId="0" applyNumberFormat="1" applyFont="1" applyFill="1"/>
    <xf numFmtId="0" fontId="23" fillId="0" borderId="0" xfId="0" applyFont="1" applyFill="1" applyAlignment="1">
      <alignment horizontal="right"/>
    </xf>
    <xf numFmtId="1" fontId="23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center"/>
    </xf>
    <xf numFmtId="1" fontId="23" fillId="0" borderId="0" xfId="0" applyNumberFormat="1" applyFont="1" applyFill="1"/>
    <xf numFmtId="0" fontId="27" fillId="0" borderId="0" xfId="0" applyFont="1" applyFill="1" applyAlignment="1">
      <alignment horizontal="right"/>
    </xf>
    <xf numFmtId="0" fontId="31" fillId="0" borderId="0" xfId="0" applyFont="1" applyFill="1"/>
    <xf numFmtId="0" fontId="23" fillId="10" borderId="0" xfId="0" applyFont="1" applyFill="1" applyAlignment="1">
      <alignment horizontal="right"/>
    </xf>
    <xf numFmtId="0" fontId="0" fillId="1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30" fillId="0" borderId="0" xfId="0" applyFont="1" applyFill="1" applyAlignment="1">
      <alignment horizontal="right"/>
    </xf>
    <xf numFmtId="0" fontId="29" fillId="0" borderId="0" xfId="0" applyFont="1"/>
    <xf numFmtId="0" fontId="0" fillId="14" borderId="0" xfId="0" applyFont="1" applyFill="1"/>
    <xf numFmtId="0" fontId="33" fillId="0" borderId="0" xfId="0" applyFont="1" applyAlignment="1"/>
    <xf numFmtId="0" fontId="5" fillId="8" borderId="0" xfId="0" applyFont="1" applyFill="1" applyAlignment="1">
      <alignment horizontal="left"/>
    </xf>
    <xf numFmtId="16" fontId="23" fillId="0" borderId="0" xfId="0" applyNumberFormat="1" applyFont="1" applyFill="1" applyAlignment="1">
      <alignment horizontal="right"/>
    </xf>
    <xf numFmtId="0" fontId="36" fillId="0" borderId="0" xfId="0" applyFont="1" applyFill="1"/>
    <xf numFmtId="0" fontId="37" fillId="0" borderId="0" xfId="0" applyFont="1" applyFill="1" applyAlignment="1">
      <alignment horizontal="right"/>
    </xf>
    <xf numFmtId="0" fontId="39" fillId="0" borderId="0" xfId="0" applyFont="1"/>
    <xf numFmtId="0" fontId="27" fillId="5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0" fontId="41" fillId="0" borderId="0" xfId="0" applyFont="1" applyFill="1"/>
    <xf numFmtId="0" fontId="40" fillId="0" borderId="0" xfId="0" applyFont="1" applyFill="1"/>
    <xf numFmtId="0" fontId="42" fillId="0" borderId="0" xfId="0" applyFont="1"/>
    <xf numFmtId="16" fontId="26" fillId="0" borderId="0" xfId="0" applyNumberFormat="1" applyFont="1" applyFill="1" applyAlignment="1">
      <alignment horizontal="left"/>
    </xf>
    <xf numFmtId="0" fontId="43" fillId="0" borderId="0" xfId="0" applyFont="1" applyFill="1"/>
    <xf numFmtId="0" fontId="24" fillId="0" borderId="0" xfId="0" applyFont="1" applyFill="1"/>
    <xf numFmtId="0" fontId="23" fillId="0" borderId="0" xfId="0" applyFont="1"/>
    <xf numFmtId="0" fontId="0" fillId="18" borderId="0" xfId="0" applyFill="1" applyAlignment="1">
      <alignment horizontal="left"/>
    </xf>
    <xf numFmtId="0" fontId="0" fillId="14" borderId="0" xfId="0" applyFill="1" applyAlignment="1">
      <alignment horizontal="right"/>
    </xf>
    <xf numFmtId="0" fontId="44" fillId="0" borderId="0" xfId="0" applyFont="1"/>
    <xf numFmtId="0" fontId="45" fillId="0" borderId="0" xfId="0" applyFont="1" applyFill="1"/>
    <xf numFmtId="0" fontId="46" fillId="0" borderId="0" xfId="0" applyFont="1" applyFill="1"/>
    <xf numFmtId="0" fontId="32" fillId="0" borderId="0" xfId="0" applyFont="1" applyFill="1" applyAlignment="1">
      <alignment horizontal="left"/>
    </xf>
    <xf numFmtId="16" fontId="0" fillId="0" borderId="0" xfId="0" applyNumberFormat="1" applyFill="1" applyAlignment="1"/>
    <xf numFmtId="0" fontId="0" fillId="19" borderId="0" xfId="0" applyFont="1" applyFill="1"/>
    <xf numFmtId="0" fontId="0" fillId="11" borderId="0" xfId="0" applyFont="1" applyFill="1"/>
    <xf numFmtId="0" fontId="26" fillId="5" borderId="0" xfId="0" applyFont="1" applyFill="1"/>
    <xf numFmtId="16" fontId="23" fillId="0" borderId="0" xfId="0" applyNumberFormat="1" applyFont="1" applyFill="1" applyAlignment="1">
      <alignment horizontal="left"/>
    </xf>
    <xf numFmtId="0" fontId="0" fillId="11" borderId="0" xfId="0" applyFill="1" applyAlignment="1">
      <alignment horizontal="left"/>
    </xf>
    <xf numFmtId="0" fontId="26" fillId="8" borderId="0" xfId="0" applyFont="1" applyFill="1"/>
    <xf numFmtId="16" fontId="0" fillId="20" borderId="0" xfId="0" applyNumberFormat="1" applyFill="1" applyAlignment="1">
      <alignment horizontal="right"/>
    </xf>
    <xf numFmtId="0" fontId="44" fillId="0" borderId="0" xfId="0" applyFont="1" applyFill="1"/>
    <xf numFmtId="0" fontId="49" fillId="0" borderId="0" xfId="0" applyFont="1" applyFill="1"/>
    <xf numFmtId="0" fontId="25" fillId="0" borderId="0" xfId="0" applyFont="1" applyFill="1"/>
    <xf numFmtId="0" fontId="38" fillId="0" borderId="0" xfId="0" applyFont="1" applyFill="1"/>
    <xf numFmtId="16" fontId="0" fillId="11" borderId="0" xfId="0" applyNumberFormat="1" applyFont="1" applyFill="1" applyAlignment="1">
      <alignment horizontal="right"/>
    </xf>
    <xf numFmtId="0" fontId="23" fillId="21" borderId="0" xfId="0" applyFont="1" applyFill="1"/>
    <xf numFmtId="2" fontId="0" fillId="0" borderId="0" xfId="0" applyNumberFormat="1" applyFill="1" applyAlignment="1">
      <alignment horizontal="right"/>
    </xf>
    <xf numFmtId="0" fontId="25" fillId="0" borderId="0" xfId="0" applyFont="1"/>
    <xf numFmtId="0" fontId="51" fillId="0" borderId="0" xfId="0" applyFont="1"/>
    <xf numFmtId="0" fontId="0" fillId="10" borderId="0" xfId="0" applyFill="1"/>
    <xf numFmtId="49" fontId="0" fillId="0" borderId="0" xfId="0" applyNumberFormat="1" applyFill="1" applyAlignment="1">
      <alignment horizontal="right"/>
    </xf>
    <xf numFmtId="0" fontId="48" fillId="0" borderId="0" xfId="0" applyFont="1" applyFill="1"/>
    <xf numFmtId="0" fontId="47" fillId="0" borderId="0" xfId="0" applyFont="1" applyFill="1"/>
    <xf numFmtId="0" fontId="52" fillId="0" borderId="0" xfId="0" applyFont="1"/>
    <xf numFmtId="0" fontId="52" fillId="0" borderId="0" xfId="0" applyFont="1" applyFill="1"/>
    <xf numFmtId="0" fontId="23" fillId="10" borderId="0" xfId="0" applyFont="1" applyFill="1" applyAlignment="1">
      <alignment horizontal="left"/>
    </xf>
    <xf numFmtId="0" fontId="0" fillId="10" borderId="0" xfId="0" applyFill="1" applyAlignment="1">
      <alignment horizontal="left"/>
    </xf>
    <xf numFmtId="0" fontId="0" fillId="22" borderId="0" xfId="0" applyFill="1" applyAlignment="1">
      <alignment horizontal="left"/>
    </xf>
    <xf numFmtId="0" fontId="53" fillId="0" borderId="0" xfId="0" applyFont="1" applyFill="1"/>
    <xf numFmtId="2" fontId="0" fillId="0" borderId="0" xfId="0" applyNumberFormat="1"/>
    <xf numFmtId="16" fontId="30" fillId="0" borderId="0" xfId="0" applyNumberFormat="1" applyFont="1" applyFill="1" applyAlignment="1">
      <alignment horizontal="left"/>
    </xf>
    <xf numFmtId="0" fontId="55" fillId="0" borderId="0" xfId="0" applyFont="1" applyFill="1"/>
    <xf numFmtId="0" fontId="26" fillId="0" borderId="0" xfId="0" applyFont="1" applyFill="1" applyAlignment="1">
      <alignment horizontal="left" vertical="top"/>
    </xf>
    <xf numFmtId="0" fontId="38" fillId="0" borderId="0" xfId="0" applyFont="1" applyFill="1" applyAlignment="1">
      <alignment horizontal="left"/>
    </xf>
    <xf numFmtId="0" fontId="54" fillId="0" borderId="0" xfId="0" applyFont="1" applyFill="1" applyAlignment="1">
      <alignment horizontal="left"/>
    </xf>
    <xf numFmtId="164" fontId="0" fillId="0" borderId="0" xfId="0" applyNumberFormat="1" applyFill="1" applyAlignment="1">
      <alignment horizontal="right"/>
    </xf>
    <xf numFmtId="0" fontId="39" fillId="0" borderId="0" xfId="0" applyFont="1" applyFill="1"/>
    <xf numFmtId="0" fontId="26" fillId="0" borderId="0" xfId="0" applyFont="1" applyFill="1" applyAlignment="1">
      <alignment horizontal="left"/>
    </xf>
    <xf numFmtId="0" fontId="5" fillId="21" borderId="0" xfId="0" applyFont="1" applyFill="1"/>
    <xf numFmtId="2" fontId="25" fillId="0" borderId="0" xfId="0" applyNumberFormat="1" applyFont="1" applyFill="1" applyAlignment="1">
      <alignment horizontal="right"/>
    </xf>
    <xf numFmtId="16" fontId="49" fillId="0" borderId="0" xfId="0" applyNumberFormat="1" applyFont="1" applyFill="1" applyAlignment="1"/>
    <xf numFmtId="0" fontId="56" fillId="0" borderId="0" xfId="0" applyFont="1" applyFill="1"/>
    <xf numFmtId="0" fontId="22" fillId="0" borderId="0" xfId="1" applyFill="1" applyAlignment="1" applyProtection="1"/>
    <xf numFmtId="4" fontId="0" fillId="0" borderId="0" xfId="0" applyNumberFormat="1" applyFont="1" applyFill="1"/>
    <xf numFmtId="4" fontId="0" fillId="0" borderId="0" xfId="0" applyNumberFormat="1" applyFill="1"/>
    <xf numFmtId="4" fontId="5" fillId="0" borderId="0" xfId="0" applyNumberFormat="1" applyFont="1" applyFill="1" applyAlignment="1">
      <alignment horizontal="left"/>
    </xf>
    <xf numFmtId="4" fontId="2" fillId="0" borderId="0" xfId="0" applyNumberFormat="1" applyFont="1" applyFill="1"/>
    <xf numFmtId="4" fontId="0" fillId="10" borderId="0" xfId="0" applyNumberForma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left"/>
    </xf>
    <xf numFmtId="16" fontId="25" fillId="0" borderId="0" xfId="0" applyNumberFormat="1" applyFont="1" applyFill="1" applyAlignment="1">
      <alignment horizontal="right"/>
    </xf>
    <xf numFmtId="3" fontId="23" fillId="0" borderId="0" xfId="0" applyNumberFormat="1" applyFont="1" applyFill="1"/>
    <xf numFmtId="2" fontId="0" fillId="0" borderId="0" xfId="0" applyNumberFormat="1" applyFont="1" applyFill="1" applyAlignment="1">
      <alignment horizontal="right"/>
    </xf>
    <xf numFmtId="16" fontId="26" fillId="0" borderId="0" xfId="0" applyNumberFormat="1" applyFont="1" applyFill="1" applyAlignment="1">
      <alignment horizontal="right"/>
    </xf>
    <xf numFmtId="1" fontId="25" fillId="0" borderId="0" xfId="0" applyNumberFormat="1" applyFont="1" applyFill="1" applyAlignment="1">
      <alignment horizontal="right"/>
    </xf>
    <xf numFmtId="16" fontId="23" fillId="0" borderId="0" xfId="0" applyNumberFormat="1" applyFont="1" applyFill="1" applyAlignment="1"/>
    <xf numFmtId="4" fontId="5" fillId="0" borderId="0" xfId="0" applyNumberFormat="1" applyFont="1" applyFill="1"/>
    <xf numFmtId="0" fontId="38" fillId="22" borderId="0" xfId="0" applyFont="1" applyFill="1" applyAlignment="1">
      <alignment horizontal="left"/>
    </xf>
    <xf numFmtId="0" fontId="25" fillId="22" borderId="0" xfId="0" applyFont="1" applyFill="1"/>
    <xf numFmtId="0" fontId="58" fillId="0" borderId="0" xfId="0" applyFont="1" applyFill="1"/>
    <xf numFmtId="2" fontId="1" fillId="0" borderId="0" xfId="0" applyNumberFormat="1" applyFont="1" applyFill="1"/>
    <xf numFmtId="2" fontId="0" fillId="0" borderId="0" xfId="0" applyNumberFormat="1" applyFill="1"/>
    <xf numFmtId="2" fontId="38" fillId="0" borderId="0" xfId="0" applyNumberFormat="1" applyFont="1" applyFill="1" applyAlignment="1">
      <alignment horizontal="left"/>
    </xf>
    <xf numFmtId="2" fontId="2" fillId="0" borderId="0" xfId="0" applyNumberFormat="1" applyFont="1" applyFill="1"/>
    <xf numFmtId="2" fontId="0" fillId="10" borderId="0" xfId="0" applyNumberForma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/>
    <xf numFmtId="2" fontId="5" fillId="0" borderId="0" xfId="0" applyNumberFormat="1" applyFont="1" applyFill="1"/>
    <xf numFmtId="2" fontId="5" fillId="0" borderId="0" xfId="0" applyNumberFormat="1" applyFont="1" applyFill="1" applyAlignment="1">
      <alignment horizontal="left"/>
    </xf>
    <xf numFmtId="0" fontId="57" fillId="8" borderId="0" xfId="0" applyFont="1" applyFill="1" applyAlignment="1">
      <alignment horizontal="left"/>
    </xf>
    <xf numFmtId="2" fontId="0" fillId="0" borderId="0" xfId="0" quotePrefix="1" applyNumberFormat="1" applyFill="1" applyAlignment="1">
      <alignment horizontal="right"/>
    </xf>
    <xf numFmtId="0" fontId="54" fillId="0" borderId="0" xfId="0" applyFont="1" applyFill="1"/>
    <xf numFmtId="0" fontId="35" fillId="0" borderId="0" xfId="0" applyFont="1" applyFill="1"/>
    <xf numFmtId="2" fontId="0" fillId="0" borderId="0" xfId="0" applyNumberFormat="1" applyFont="1" applyFill="1" applyAlignment="1">
      <alignment horizontal="left"/>
    </xf>
    <xf numFmtId="0" fontId="43" fillId="10" borderId="0" xfId="0" applyFont="1" applyFill="1"/>
    <xf numFmtId="16" fontId="0" fillId="0" borderId="0" xfId="0" quotePrefix="1" applyNumberFormat="1" applyFill="1" applyAlignment="1">
      <alignment horizontal="right"/>
    </xf>
    <xf numFmtId="0" fontId="60" fillId="23" borderId="0" xfId="0" applyFont="1" applyFill="1"/>
    <xf numFmtId="0" fontId="62" fillId="11" borderId="0" xfId="0" applyFont="1" applyFill="1"/>
    <xf numFmtId="0" fontId="0" fillId="15" borderId="0" xfId="0" applyFont="1" applyFill="1"/>
    <xf numFmtId="0" fontId="23" fillId="15" borderId="0" xfId="0" applyFont="1" applyFill="1"/>
    <xf numFmtId="16" fontId="0" fillId="21" borderId="0" xfId="0" applyNumberFormat="1" applyFill="1" applyAlignment="1">
      <alignment horizontal="right"/>
    </xf>
    <xf numFmtId="0" fontId="0" fillId="0" borderId="0" xfId="0" quotePrefix="1" applyFont="1" applyFill="1"/>
    <xf numFmtId="0" fontId="63" fillId="15" borderId="0" xfId="0" applyFont="1" applyFill="1"/>
    <xf numFmtId="0" fontId="5" fillId="15" borderId="0" xfId="0" applyFont="1" applyFill="1" applyAlignment="1">
      <alignment horizontal="left"/>
    </xf>
    <xf numFmtId="0" fontId="1" fillId="15" borderId="0" xfId="0" applyFont="1" applyFill="1"/>
    <xf numFmtId="0" fontId="5" fillId="0" borderId="0" xfId="1" applyFont="1" applyFill="1" applyAlignment="1" applyProtection="1"/>
    <xf numFmtId="0" fontId="59" fillId="0" borderId="0" xfId="0" applyFont="1" applyFill="1"/>
    <xf numFmtId="0" fontId="0" fillId="19" borderId="0" xfId="0" applyFill="1"/>
    <xf numFmtId="0" fontId="61" fillId="0" borderId="0" xfId="0" applyFont="1" applyFill="1"/>
    <xf numFmtId="0" fontId="65" fillId="15" borderId="0" xfId="0" applyFont="1" applyFill="1"/>
    <xf numFmtId="0" fontId="66" fillId="15" borderId="0" xfId="0" applyFont="1" applyFill="1"/>
    <xf numFmtId="0" fontId="57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9E7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hnkokai@yahoo.com" TargetMode="External"/><Relationship Id="rId13" Type="http://schemas.openxmlformats.org/officeDocument/2006/relationships/hyperlink" Target="mailto:jenlo5725@gmail.com" TargetMode="External"/><Relationship Id="rId18" Type="http://schemas.openxmlformats.org/officeDocument/2006/relationships/hyperlink" Target="mailto:pblavs@hotmail.com%20%20%20262719134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paul-durkin@tiscali.co.uk" TargetMode="External"/><Relationship Id="rId21" Type="http://schemas.openxmlformats.org/officeDocument/2006/relationships/hyperlink" Target="mailto:1983swallace@gmail.com" TargetMode="External"/><Relationship Id="rId7" Type="http://schemas.openxmlformats.org/officeDocument/2006/relationships/hyperlink" Target="mailto:drummerdoug2112@gmail.com" TargetMode="External"/><Relationship Id="rId12" Type="http://schemas.openxmlformats.org/officeDocument/2006/relationships/hyperlink" Target="mailto:ncrocki@woh.rr.com%20(937)%20271-0891" TargetMode="External"/><Relationship Id="rId17" Type="http://schemas.openxmlformats.org/officeDocument/2006/relationships/hyperlink" Target="mailto:crobo21@gmail.com%20%20516)%20581-1202" TargetMode="External"/><Relationship Id="rId25" Type="http://schemas.openxmlformats.org/officeDocument/2006/relationships/hyperlink" Target="mailto:djebaugh79@gmail.com%20%20(330)%20241-9863" TargetMode="External"/><Relationship Id="rId2" Type="http://schemas.openxmlformats.org/officeDocument/2006/relationships/hyperlink" Target="mailto:vito.lenoci@lenocifragrancegroup.com" TargetMode="External"/><Relationship Id="rId16" Type="http://schemas.openxmlformats.org/officeDocument/2006/relationships/hyperlink" Target="mailto:sarah.just@yahoo.com" TargetMode="External"/><Relationship Id="rId20" Type="http://schemas.openxmlformats.org/officeDocument/2006/relationships/hyperlink" Target="mailto:eddiemfsk@hotmail.com" TargetMode="External"/><Relationship Id="rId1" Type="http://schemas.openxmlformats.org/officeDocument/2006/relationships/hyperlink" Target="tel:%28260%29%20515-5934" TargetMode="External"/><Relationship Id="rId6" Type="http://schemas.openxmlformats.org/officeDocument/2006/relationships/hyperlink" Target="mailto:leejoyce4444@comcast.net" TargetMode="External"/><Relationship Id="rId11" Type="http://schemas.openxmlformats.org/officeDocument/2006/relationships/hyperlink" Target="https://www.homeaway.com/traveler/profiles/a2a79964-6580-4dd7-b737-e5244aa5596f" TargetMode="External"/><Relationship Id="rId24" Type="http://schemas.openxmlformats.org/officeDocument/2006/relationships/hyperlink" Target="mailto:jerry@gtweb.net" TargetMode="External"/><Relationship Id="rId5" Type="http://schemas.openxmlformats.org/officeDocument/2006/relationships/hyperlink" Target="mailto:ntr0228@gmail.com" TargetMode="External"/><Relationship Id="rId15" Type="http://schemas.openxmlformats.org/officeDocument/2006/relationships/hyperlink" Target="mailto:mhtheo@gmail.com" TargetMode="External"/><Relationship Id="rId23" Type="http://schemas.openxmlformats.org/officeDocument/2006/relationships/hyperlink" Target="mailto:kwoods8091@comcast.net%20%20(603)%20608-8199" TargetMode="External"/><Relationship Id="rId10" Type="http://schemas.openxmlformats.org/officeDocument/2006/relationships/hyperlink" Target="mailto:john2924@sbcglobal.net%20(203)%20537-2412" TargetMode="External"/><Relationship Id="rId19" Type="http://schemas.openxmlformats.org/officeDocument/2006/relationships/hyperlink" Target="mailto:kristin.kemezys@gmail.com%20%20603%20718%201232" TargetMode="External"/><Relationship Id="rId4" Type="http://schemas.openxmlformats.org/officeDocument/2006/relationships/hyperlink" Target="mailto:Francesajones@onetel.com%20%2044%207979%20706450" TargetMode="External"/><Relationship Id="rId9" Type="http://schemas.openxmlformats.org/officeDocument/2006/relationships/hyperlink" Target="mailto:chrisjjacks@gmail.com" TargetMode="External"/><Relationship Id="rId14" Type="http://schemas.openxmlformats.org/officeDocument/2006/relationships/hyperlink" Target="mailto:bcalsphone@gmail.com" TargetMode="External"/><Relationship Id="rId22" Type="http://schemas.openxmlformats.org/officeDocument/2006/relationships/hyperlink" Target="mailto:mffoley1@comcas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3"/>
  <sheetViews>
    <sheetView tabSelected="1" zoomScale="80" zoomScaleNormal="80" workbookViewId="0">
      <pane ySplit="15" topLeftCell="A338" activePane="bottomLeft" state="frozen"/>
      <selection pane="bottomLeft" activeCell="B353" sqref="B353"/>
    </sheetView>
  </sheetViews>
  <sheetFormatPr defaultRowHeight="14.4" x14ac:dyDescent="0.3"/>
  <cols>
    <col min="1" max="1" width="6.44140625" customWidth="1"/>
    <col min="2" max="2" width="26.6640625" customWidth="1"/>
    <col min="3" max="3" width="30.109375" customWidth="1"/>
    <col min="4" max="4" width="6.88671875" customWidth="1"/>
    <col min="5" max="6" width="6.88671875" hidden="1" customWidth="1"/>
    <col min="7" max="7" width="26.109375" customWidth="1"/>
    <col min="8" max="8" width="7.88671875" customWidth="1"/>
    <col min="9" max="9" width="1.88671875" customWidth="1"/>
    <col min="10" max="10" width="29.88671875" customWidth="1"/>
    <col min="11" max="11" width="6.109375" customWidth="1"/>
    <col min="12" max="12" width="16" style="5" customWidth="1"/>
    <col min="13" max="13" width="9.109375" customWidth="1"/>
    <col min="15" max="15" width="12.5546875" customWidth="1"/>
    <col min="16" max="16" width="10.44140625" customWidth="1"/>
    <col min="17" max="17" width="11.88671875" customWidth="1"/>
    <col min="18" max="18" width="11.5546875" customWidth="1"/>
    <col min="19" max="19" width="8.88671875" style="76" customWidth="1"/>
    <col min="20" max="20" width="13.88671875" customWidth="1"/>
    <col min="21" max="21" width="14.109375" customWidth="1"/>
    <col min="22" max="22" width="11.5546875" customWidth="1"/>
    <col min="23" max="23" width="24.5546875" customWidth="1"/>
    <col min="24" max="24" width="13.109375" customWidth="1"/>
    <col min="25" max="26" width="13.109375" hidden="1" customWidth="1"/>
    <col min="27" max="27" width="11.109375" customWidth="1"/>
    <col min="28" max="28" width="11.109375" hidden="1" customWidth="1"/>
    <col min="29" max="29" width="13.6640625" customWidth="1"/>
    <col min="30" max="30" width="0.109375" customWidth="1"/>
    <col min="31" max="32" width="11.44140625" customWidth="1"/>
    <col min="33" max="33" width="13" bestFit="1" customWidth="1"/>
    <col min="34" max="34" width="9.109375" customWidth="1"/>
    <col min="41" max="41" width="11.6640625" customWidth="1"/>
  </cols>
  <sheetData>
    <row r="1" spans="1:43" x14ac:dyDescent="0.3">
      <c r="G1" s="1" t="s">
        <v>218</v>
      </c>
      <c r="M1" s="2">
        <v>0.1</v>
      </c>
      <c r="N1" t="s">
        <v>12</v>
      </c>
      <c r="Q1" s="7" t="s">
        <v>150</v>
      </c>
      <c r="U1" s="119">
        <v>2015</v>
      </c>
      <c r="V1" s="119">
        <v>2016</v>
      </c>
      <c r="Z1" t="s">
        <v>56</v>
      </c>
      <c r="AC1" t="s">
        <v>202</v>
      </c>
      <c r="AD1" s="3" t="s">
        <v>15</v>
      </c>
    </row>
    <row r="2" spans="1:43" x14ac:dyDescent="0.3">
      <c r="B2" s="116" t="s">
        <v>339</v>
      </c>
      <c r="C2" s="19"/>
      <c r="G2" s="1" t="s">
        <v>220</v>
      </c>
      <c r="M2" s="205">
        <v>6</v>
      </c>
      <c r="N2">
        <v>6</v>
      </c>
      <c r="Q2" s="7" t="s">
        <v>149</v>
      </c>
      <c r="U2">
        <f>(M9+Q9)/7</f>
        <v>245.79428571428571</v>
      </c>
      <c r="V2">
        <f>U2*1.04</f>
        <v>255.62605714285715</v>
      </c>
      <c r="W2">
        <f>2068-500</f>
        <v>1568</v>
      </c>
      <c r="AB2">
        <v>7</v>
      </c>
      <c r="AC2">
        <v>1498</v>
      </c>
      <c r="AD2" s="3" t="s">
        <v>179</v>
      </c>
    </row>
    <row r="3" spans="1:43" x14ac:dyDescent="0.3">
      <c r="B3" s="117" t="s">
        <v>340</v>
      </c>
      <c r="G3">
        <v>1120</v>
      </c>
      <c r="H3" s="54"/>
      <c r="I3" s="54"/>
      <c r="M3" s="149">
        <v>6</v>
      </c>
      <c r="N3" t="s">
        <v>5</v>
      </c>
      <c r="P3">
        <f>IF(M3&gt;3,20*1,0)</f>
        <v>20</v>
      </c>
      <c r="Q3">
        <v>0</v>
      </c>
      <c r="U3">
        <f>(M10+Q10)/7</f>
        <v>206.92114285714283</v>
      </c>
      <c r="V3">
        <f>U3*1.04</f>
        <v>215.19798857142854</v>
      </c>
      <c r="AB3">
        <v>14</v>
      </c>
      <c r="AC3">
        <f>AB3*AC2/AB2</f>
        <v>2996</v>
      </c>
      <c r="AD3" s="67" t="s">
        <v>223</v>
      </c>
    </row>
    <row r="4" spans="1:43" x14ac:dyDescent="0.3">
      <c r="B4" s="118" t="s">
        <v>341</v>
      </c>
      <c r="G4">
        <v>1220</v>
      </c>
      <c r="H4" s="54"/>
      <c r="I4" s="54"/>
      <c r="M4">
        <v>0</v>
      </c>
      <c r="N4" t="s">
        <v>7</v>
      </c>
      <c r="O4">
        <f>IF(M2=7,1,1-(0.3*((M2/7)-1)))</f>
        <v>1.0428571428571429</v>
      </c>
      <c r="P4">
        <f>IF(O4&gt;=0.5,O4,0.5)</f>
        <v>1.0428571428571429</v>
      </c>
      <c r="U4">
        <f>(M11+Q11)/7</f>
        <v>294.38571428571424</v>
      </c>
      <c r="V4">
        <f>U4*1.04</f>
        <v>306.16114285714281</v>
      </c>
      <c r="W4">
        <f>20*5*1.13</f>
        <v>112.99999999999999</v>
      </c>
      <c r="X4">
        <f>1468+113</f>
        <v>1581</v>
      </c>
    </row>
    <row r="5" spans="1:43" x14ac:dyDescent="0.3">
      <c r="B5" s="119" t="s">
        <v>342</v>
      </c>
      <c r="G5">
        <v>1320</v>
      </c>
      <c r="H5" s="204"/>
      <c r="M5">
        <v>1</v>
      </c>
      <c r="N5" t="s">
        <v>14</v>
      </c>
    </row>
    <row r="6" spans="1:43" x14ac:dyDescent="0.3">
      <c r="B6" s="123" t="s">
        <v>350</v>
      </c>
      <c r="D6" s="108" t="s">
        <v>479</v>
      </c>
      <c r="M6" s="167">
        <v>1</v>
      </c>
      <c r="N6" t="s">
        <v>125</v>
      </c>
      <c r="U6" s="36" t="s">
        <v>248</v>
      </c>
      <c r="X6" s="3" t="s">
        <v>16</v>
      </c>
      <c r="Y6" s="3"/>
      <c r="Z6" s="3"/>
    </row>
    <row r="7" spans="1:43" ht="23.4" x14ac:dyDescent="0.45">
      <c r="D7" s="108" t="s">
        <v>480</v>
      </c>
      <c r="G7" s="7" t="s">
        <v>221</v>
      </c>
      <c r="J7" s="1" t="s">
        <v>219</v>
      </c>
      <c r="L7" s="78" t="s">
        <v>249</v>
      </c>
      <c r="Q7" s="1" t="s">
        <v>4</v>
      </c>
      <c r="U7" s="36" t="s">
        <v>138</v>
      </c>
      <c r="V7" s="3"/>
      <c r="W7" s="52" t="s">
        <v>140</v>
      </c>
      <c r="X7" s="3" t="s">
        <v>139</v>
      </c>
      <c r="Y7" s="3"/>
      <c r="Z7" s="3"/>
      <c r="AA7" s="1" t="s">
        <v>1</v>
      </c>
      <c r="AB7" s="1"/>
      <c r="AC7" t="s">
        <v>141</v>
      </c>
      <c r="AE7" s="1" t="s">
        <v>1</v>
      </c>
      <c r="AF7" s="1"/>
    </row>
    <row r="8" spans="1:43" ht="15" customHeight="1" x14ac:dyDescent="0.3">
      <c r="D8" s="108">
        <v>1</v>
      </c>
      <c r="G8" s="7" t="s">
        <v>217</v>
      </c>
      <c r="J8" s="1" t="s">
        <v>95</v>
      </c>
      <c r="L8" s="78" t="s">
        <v>138</v>
      </c>
      <c r="N8" s="1" t="s">
        <v>8</v>
      </c>
      <c r="O8" s="1" t="s">
        <v>9</v>
      </c>
      <c r="P8" s="1" t="s">
        <v>10</v>
      </c>
      <c r="Q8" s="1" t="s">
        <v>11</v>
      </c>
      <c r="R8" s="1" t="s">
        <v>0</v>
      </c>
      <c r="S8" s="72"/>
      <c r="T8" s="1"/>
      <c r="U8" s="36" t="s">
        <v>6</v>
      </c>
      <c r="V8" s="3" t="s">
        <v>436</v>
      </c>
      <c r="W8" s="1" t="s">
        <v>15</v>
      </c>
      <c r="X8" s="3" t="s">
        <v>15</v>
      </c>
      <c r="Y8" s="3"/>
      <c r="Z8" s="3"/>
      <c r="AA8" s="1" t="s">
        <v>2</v>
      </c>
      <c r="AB8" s="1"/>
      <c r="AC8" s="3" t="s">
        <v>142</v>
      </c>
      <c r="AE8" s="1" t="s">
        <v>3</v>
      </c>
      <c r="AF8" s="1"/>
    </row>
    <row r="9" spans="1:43" ht="18" x14ac:dyDescent="0.35">
      <c r="B9" t="s">
        <v>747</v>
      </c>
      <c r="D9">
        <v>1.1000000000000001</v>
      </c>
      <c r="G9">
        <f>200*7*1.1338</f>
        <v>1587.32</v>
      </c>
      <c r="H9">
        <v>1186</v>
      </c>
      <c r="J9">
        <v>1020</v>
      </c>
      <c r="L9" s="5">
        <f>M9+Q9</f>
        <v>1720.56</v>
      </c>
      <c r="M9">
        <f>G9/7*$M$2</f>
        <v>1360.56</v>
      </c>
      <c r="N9">
        <f>IF($M$2&lt;=7,(100/7*$M$2*$M$5),(100+(($M$2-7)*8))*$M$5)</f>
        <v>85.714285714285722</v>
      </c>
      <c r="O9">
        <v>130</v>
      </c>
      <c r="P9">
        <f>IF($M$4&gt;0,100,0)</f>
        <v>0</v>
      </c>
      <c r="Q9">
        <f>IF($M$3&gt;3,(($M$3-3)*$P$3*$M$2)+$Q$3,0)</f>
        <v>360</v>
      </c>
      <c r="R9">
        <f>(M9+N9+O9+P9+Q9)*$M$1</f>
        <v>193.6274285714286</v>
      </c>
      <c r="U9" s="56">
        <f>M9+N9+O9+P9+Q9+R9</f>
        <v>2129.9017142857142</v>
      </c>
      <c r="V9" s="56">
        <f>L9/M2</f>
        <v>286.76</v>
      </c>
      <c r="W9">
        <f>IF($M$6 = 1,((U9+500)*0.039*$M$6),47)</f>
        <v>102.56616685714286</v>
      </c>
      <c r="X9" s="216">
        <f>U9+W9</f>
        <v>2232.4678811428571</v>
      </c>
      <c r="AA9">
        <f>X9/$M$2</f>
        <v>372.07798019047618</v>
      </c>
      <c r="AC9" s="53">
        <f>AA9/$M$3</f>
        <v>62.012996698412699</v>
      </c>
      <c r="AD9">
        <f>V9*30</f>
        <v>8602.7999999999993</v>
      </c>
      <c r="AE9">
        <f>AD9*0.95</f>
        <v>8172.6599999999989</v>
      </c>
    </row>
    <row r="10" spans="1:43" ht="18" x14ac:dyDescent="0.35">
      <c r="B10" t="s">
        <v>13</v>
      </c>
      <c r="D10">
        <v>1.1499999999999999</v>
      </c>
      <c r="G10">
        <f>160*7*1.1338</f>
        <v>1269.856</v>
      </c>
      <c r="H10">
        <v>1369</v>
      </c>
      <c r="J10">
        <v>1250</v>
      </c>
      <c r="L10" s="5">
        <f>M10+Q10</f>
        <v>1448.4479999999999</v>
      </c>
      <c r="M10">
        <f>G10/7*$M$2</f>
        <v>1088.4479999999999</v>
      </c>
      <c r="N10">
        <f>IF($M$2&lt;=7,(100/7*$M$2*$M$5),(100+(($M$2-7)*8))*$M$5)</f>
        <v>85.714285714285722</v>
      </c>
      <c r="O10">
        <v>130</v>
      </c>
      <c r="P10">
        <f>IF($M$4&gt;0,100,0)</f>
        <v>0</v>
      </c>
      <c r="Q10">
        <f>IF($M$3&gt;3,(($M$3-3)*$P$3*$M$2)+$Q$3,0)</f>
        <v>360</v>
      </c>
      <c r="R10">
        <f>(M10+N10+O10+P10+Q10)*$M$1</f>
        <v>166.41622857142858</v>
      </c>
      <c r="U10" s="56">
        <f>M10+N10+O10+P10+Q10+R10</f>
        <v>1830.5785142857142</v>
      </c>
      <c r="V10" s="56">
        <f>L10/M2</f>
        <v>241.40799999999999</v>
      </c>
      <c r="W10">
        <f>IF($M$6 = 1,((U10+500)*0.039*$M$6),47)</f>
        <v>90.89256205714284</v>
      </c>
      <c r="X10">
        <f>U10+W10</f>
        <v>1921.471076342857</v>
      </c>
      <c r="AA10">
        <f>X10/$M$2</f>
        <v>320.24517939047615</v>
      </c>
      <c r="AC10" s="53">
        <f>AA10/$M$3</f>
        <v>53.374196565079359</v>
      </c>
      <c r="AD10">
        <f>V10*30</f>
        <v>7242.24</v>
      </c>
      <c r="AE10">
        <f>AD10*0.95</f>
        <v>6880.1279999999997</v>
      </c>
    </row>
    <row r="11" spans="1:43" ht="18" x14ac:dyDescent="0.35">
      <c r="B11" t="s">
        <v>748</v>
      </c>
      <c r="D11">
        <v>1.1499999999999999</v>
      </c>
      <c r="G11">
        <f>250*7*1.1338</f>
        <v>1984.1499999999999</v>
      </c>
      <c r="H11">
        <v>1440</v>
      </c>
      <c r="J11">
        <v>1350</v>
      </c>
      <c r="L11" s="5">
        <f>M11+Q11</f>
        <v>2060.6999999999998</v>
      </c>
      <c r="M11">
        <f>G11/7*$M$2</f>
        <v>1700.6999999999998</v>
      </c>
      <c r="N11">
        <f>IF($M$2&lt;=7,(100/7*$M$2*$M$5),(100+(($M$2-7)*8))*$M$5)</f>
        <v>85.714285714285722</v>
      </c>
      <c r="O11">
        <v>130</v>
      </c>
      <c r="P11">
        <f>IF($M$4&gt;0,100,0)</f>
        <v>0</v>
      </c>
      <c r="Q11">
        <f>IF($M$3&gt;3,(($M$3-3)*$P$3*$M$2)+$Q$3,0)</f>
        <v>360</v>
      </c>
      <c r="R11">
        <f>(M11+N11+O11+P11+Q11)*$M$1</f>
        <v>227.64142857142858</v>
      </c>
      <c r="U11" s="56">
        <f>M11+N11+O11+P11+Q11+R11</f>
        <v>2504.0557142857142</v>
      </c>
      <c r="V11" s="56">
        <f>L11/M2</f>
        <v>343.45</v>
      </c>
      <c r="W11">
        <f>IF($M$6 = 1,((U11+500)*0.039*$M$6),47)</f>
        <v>117.15817285714286</v>
      </c>
      <c r="X11">
        <f>U11+W11</f>
        <v>2621.2138871428569</v>
      </c>
      <c r="AA11">
        <f>X11/$M$2</f>
        <v>436.86898119047618</v>
      </c>
      <c r="AC11" s="53">
        <f>AA11/$M$3</f>
        <v>72.811496865079363</v>
      </c>
      <c r="AD11">
        <f>V11*30</f>
        <v>10303.5</v>
      </c>
      <c r="AE11">
        <f>AD11*0.95</f>
        <v>9788.3249999999989</v>
      </c>
    </row>
    <row r="12" spans="1:43" x14ac:dyDescent="0.3">
      <c r="B12" t="s">
        <v>42</v>
      </c>
      <c r="G12" s="149"/>
      <c r="L12" s="5">
        <f>L10/7</f>
        <v>206.92114285714283</v>
      </c>
      <c r="R12" s="52" t="s">
        <v>222</v>
      </c>
      <c r="S12" s="125"/>
      <c r="T12" s="52"/>
      <c r="U12" s="64">
        <f>ROUND(SUM(U9:U11)/3,0)</f>
        <v>2155</v>
      </c>
      <c r="V12" s="64">
        <f>ROUND((SUM(V9:V11)/3),0)</f>
        <v>291</v>
      </c>
    </row>
    <row r="13" spans="1:43" x14ac:dyDescent="0.3">
      <c r="M13">
        <f>M9/31</f>
        <v>43.889032258064518</v>
      </c>
      <c r="R13" s="52"/>
      <c r="S13" s="125"/>
      <c r="T13" s="52"/>
      <c r="U13" s="64"/>
      <c r="V13" s="64"/>
    </row>
    <row r="14" spans="1:43" x14ac:dyDescent="0.3">
      <c r="H14" t="s">
        <v>118</v>
      </c>
      <c r="K14" t="s">
        <v>54</v>
      </c>
      <c r="S14" s="76" t="s">
        <v>354</v>
      </c>
      <c r="T14" t="s">
        <v>225</v>
      </c>
      <c r="V14" t="s">
        <v>139</v>
      </c>
      <c r="AI14" t="s">
        <v>352</v>
      </c>
      <c r="AJ14" t="s">
        <v>352</v>
      </c>
      <c r="AK14" t="s">
        <v>352</v>
      </c>
      <c r="AL14" t="s">
        <v>352</v>
      </c>
      <c r="AN14" t="s">
        <v>353</v>
      </c>
      <c r="AO14" t="s">
        <v>353</v>
      </c>
      <c r="AP14" t="s">
        <v>353</v>
      </c>
      <c r="AQ14" t="s">
        <v>353</v>
      </c>
    </row>
    <row r="15" spans="1:43" x14ac:dyDescent="0.3">
      <c r="B15" t="s">
        <v>17</v>
      </c>
      <c r="C15" t="s">
        <v>37</v>
      </c>
      <c r="D15" t="s">
        <v>18</v>
      </c>
      <c r="G15" t="s">
        <v>19</v>
      </c>
      <c r="H15" t="s">
        <v>119</v>
      </c>
      <c r="J15" t="s">
        <v>20</v>
      </c>
      <c r="K15" t="s">
        <v>52</v>
      </c>
      <c r="L15" s="5" t="s">
        <v>53</v>
      </c>
      <c r="O15" s="1" t="s">
        <v>21</v>
      </c>
      <c r="P15" s="1" t="s">
        <v>22</v>
      </c>
      <c r="Q15" s="1" t="s">
        <v>23</v>
      </c>
      <c r="R15" s="1" t="s">
        <v>24</v>
      </c>
      <c r="S15" s="72" t="s">
        <v>355</v>
      </c>
      <c r="T15" s="1" t="s">
        <v>226</v>
      </c>
      <c r="U15" s="1"/>
      <c r="V15" s="65" t="s">
        <v>15</v>
      </c>
      <c r="W15" s="5" t="s">
        <v>25</v>
      </c>
      <c r="X15" s="1" t="s">
        <v>6</v>
      </c>
      <c r="Y15" s="1"/>
      <c r="Z15" s="1"/>
      <c r="AA15" s="1" t="s">
        <v>9</v>
      </c>
      <c r="AB15" s="1"/>
      <c r="AC15" s="1" t="s">
        <v>26</v>
      </c>
      <c r="AD15" s="1" t="s">
        <v>27</v>
      </c>
      <c r="AE15" s="1" t="s">
        <v>28</v>
      </c>
      <c r="AF15" s="1"/>
      <c r="AG15" s="1" t="s">
        <v>29</v>
      </c>
      <c r="AH15" s="1"/>
      <c r="AI15" s="1" t="s">
        <v>356</v>
      </c>
      <c r="AJ15" s="1" t="s">
        <v>357</v>
      </c>
      <c r="AK15" s="1" t="s">
        <v>358</v>
      </c>
      <c r="AL15" s="1" t="s">
        <v>359</v>
      </c>
      <c r="AM15" s="1"/>
      <c r="AN15" s="1" t="s">
        <v>356</v>
      </c>
      <c r="AO15" s="1" t="s">
        <v>357</v>
      </c>
      <c r="AP15" s="1" t="s">
        <v>358</v>
      </c>
      <c r="AQ15" s="1" t="s">
        <v>359</v>
      </c>
    </row>
    <row r="16" spans="1:43" ht="23.4" x14ac:dyDescent="0.45">
      <c r="A16" s="31"/>
      <c r="B16" s="28">
        <v>2010</v>
      </c>
      <c r="C16" s="29"/>
      <c r="D16" s="30"/>
      <c r="E16" s="31"/>
      <c r="F16" s="31"/>
      <c r="G16" s="30"/>
      <c r="H16" s="30"/>
      <c r="I16" s="30"/>
      <c r="J16" s="30"/>
      <c r="K16" s="31"/>
      <c r="L16" s="32"/>
      <c r="M16" s="33"/>
      <c r="N16" s="31"/>
      <c r="O16" s="34"/>
      <c r="P16" s="34"/>
      <c r="Q16" s="31"/>
      <c r="R16" s="35"/>
      <c r="S16" s="71"/>
      <c r="T16" s="71"/>
      <c r="U16" s="34"/>
      <c r="V16" s="66" t="s">
        <v>227</v>
      </c>
      <c r="W16" s="32"/>
      <c r="X16" s="34"/>
      <c r="Y16" s="34"/>
      <c r="Z16" s="34"/>
      <c r="AA16" s="34"/>
      <c r="AB16" s="34"/>
      <c r="AC16" s="31"/>
      <c r="AD16" s="34"/>
      <c r="AE16" s="34"/>
      <c r="AF16" s="34"/>
      <c r="AG16" s="34"/>
    </row>
    <row r="17" spans="2:43" ht="15.6" x14ac:dyDescent="0.3">
      <c r="B17" t="s">
        <v>58</v>
      </c>
      <c r="C17" s="11" t="s">
        <v>45</v>
      </c>
      <c r="D17" t="s">
        <v>30</v>
      </c>
      <c r="E17">
        <f>IF(D17=$B$12,H17,0)</f>
        <v>0</v>
      </c>
      <c r="F17">
        <f>IF(E17&gt;0,0,1)</f>
        <v>1</v>
      </c>
      <c r="G17" t="s">
        <v>31</v>
      </c>
      <c r="H17">
        <v>15</v>
      </c>
      <c r="J17" t="s">
        <v>32</v>
      </c>
      <c r="K17" t="s">
        <v>55</v>
      </c>
      <c r="L17" s="5">
        <v>0</v>
      </c>
      <c r="M17" s="4" t="s">
        <v>33</v>
      </c>
      <c r="O17" s="50">
        <v>2656</v>
      </c>
      <c r="P17" s="1">
        <v>0</v>
      </c>
      <c r="Q17">
        <f t="shared" ref="Q17:Q27" si="0">(O17+500)-P17</f>
        <v>3156</v>
      </c>
      <c r="R17" s="6" t="s">
        <v>34</v>
      </c>
      <c r="S17" s="72">
        <v>2</v>
      </c>
      <c r="T17" s="72">
        <f>IF(U17=$AD$2,47,IF(U17=$AD$1,((Q17+P17)*0.039),IF(U17=$AD$3,0)))</f>
        <v>47</v>
      </c>
      <c r="U17" s="7" t="str">
        <f>IF(V17=1,$AD$2,IF(V17=2,$AD$1,IF(AND(V17&lt;&gt;1,V17&lt;&gt;20)=TRUE,$AD$3)))</f>
        <v>BANK</v>
      </c>
      <c r="V17" s="68">
        <v>1</v>
      </c>
      <c r="W17" s="5" t="s">
        <v>25</v>
      </c>
      <c r="X17" s="1">
        <f t="shared" ref="X17:X26" si="1">Q17+P17</f>
        <v>3156</v>
      </c>
      <c r="Y17" s="1"/>
      <c r="Z17" s="1">
        <f t="shared" ref="Z17:Z33" si="2">IF(W17=$Z$1,Q17-500,0)</f>
        <v>0</v>
      </c>
      <c r="AA17" s="1">
        <f>125+65</f>
        <v>190</v>
      </c>
      <c r="AB17" s="1"/>
      <c r="AC17">
        <f>O17-AA17</f>
        <v>2466</v>
      </c>
      <c r="AD17" s="1"/>
      <c r="AE17" s="1">
        <f>IF(H17&gt;0,30*F17,0)</f>
        <v>30</v>
      </c>
      <c r="AF17" s="1">
        <f t="shared" ref="AF17:AF33" si="3">IF(AG17&gt;0,AG17,0)</f>
        <v>2436</v>
      </c>
      <c r="AG17" s="1">
        <f t="shared" ref="AG17:AG33" si="4">AC17-AE17</f>
        <v>2436</v>
      </c>
      <c r="AI17">
        <f t="shared" ref="AI17:AI33" si="5">IF(S17=1,O17,0)</f>
        <v>0</v>
      </c>
      <c r="AJ17">
        <f t="shared" ref="AJ17:AJ33" si="6">IF(S17=2,O17,0)</f>
        <v>2656</v>
      </c>
      <c r="AK17">
        <f t="shared" ref="AK17:AK33" si="7">IF(S17=3,O17,0)</f>
        <v>0</v>
      </c>
      <c r="AL17">
        <f t="shared" ref="AL17:AL33" si="8">IF(S17=4,O17,0)</f>
        <v>0</v>
      </c>
      <c r="AN17">
        <f>IF(S17=1,O17,0)</f>
        <v>0</v>
      </c>
      <c r="AO17">
        <f>IF(S17=2,O17,0)</f>
        <v>2656</v>
      </c>
      <c r="AP17">
        <f>IF(S17=3,O17,0)</f>
        <v>0</v>
      </c>
      <c r="AQ17">
        <f>IF(S17=4,O17,0)</f>
        <v>0</v>
      </c>
    </row>
    <row r="18" spans="2:43" ht="15.6" x14ac:dyDescent="0.3">
      <c r="B18" t="s">
        <v>44</v>
      </c>
      <c r="C18" s="11" t="s">
        <v>41</v>
      </c>
      <c r="D18" t="s">
        <v>42</v>
      </c>
      <c r="E18">
        <f t="shared" ref="E18:E72" si="9">IF(D18=$B$12,H18,0)</f>
        <v>15</v>
      </c>
      <c r="F18">
        <f t="shared" ref="F18:F33" si="10">IF(E18&gt;0,0,1)</f>
        <v>0</v>
      </c>
      <c r="G18" t="s">
        <v>255</v>
      </c>
      <c r="H18">
        <v>15</v>
      </c>
      <c r="J18" t="s">
        <v>76</v>
      </c>
      <c r="K18" t="s">
        <v>55</v>
      </c>
      <c r="L18" s="5">
        <v>3</v>
      </c>
      <c r="M18" s="4" t="s">
        <v>36</v>
      </c>
      <c r="O18" s="50">
        <v>0</v>
      </c>
      <c r="P18" s="1">
        <v>0</v>
      </c>
      <c r="Q18">
        <f t="shared" si="0"/>
        <v>500</v>
      </c>
      <c r="R18" s="6" t="s">
        <v>42</v>
      </c>
      <c r="S18" s="72">
        <v>3</v>
      </c>
      <c r="T18" s="72">
        <f t="shared" ref="T18:T33" si="11">IF(U18=$AD$2,47,IF(U18=$AD$1,((Q18+P18)*0.039),IF(U18=$AD$3,0)))</f>
        <v>0</v>
      </c>
      <c r="U18" s="7" t="str">
        <f>IF(V18=1,$AD$2,IF(V18=2,$AD$1,IF(AND(V18&lt;&gt;1,V18&lt;&gt;20)=TRUE,$AD$3)))</f>
        <v>NONE</v>
      </c>
      <c r="V18" s="68">
        <v>0</v>
      </c>
      <c r="W18" s="5" t="s">
        <v>42</v>
      </c>
      <c r="X18" s="1">
        <f t="shared" si="1"/>
        <v>500</v>
      </c>
      <c r="Y18" s="1"/>
      <c r="Z18" s="1">
        <f t="shared" si="2"/>
        <v>0</v>
      </c>
      <c r="AA18" s="1">
        <v>0</v>
      </c>
      <c r="AB18" s="1"/>
      <c r="AC18">
        <f t="shared" ref="AC18:AC50" si="12">O18-AA18</f>
        <v>0</v>
      </c>
      <c r="AD18" s="1"/>
      <c r="AE18" s="1">
        <f t="shared" ref="AE18:AE33" si="13">IF(H18&gt;0,30*F18,0)</f>
        <v>0</v>
      </c>
      <c r="AF18" s="1">
        <f t="shared" si="3"/>
        <v>0</v>
      </c>
      <c r="AG18" s="1">
        <f t="shared" si="4"/>
        <v>0</v>
      </c>
      <c r="AI18">
        <f t="shared" si="5"/>
        <v>0</v>
      </c>
      <c r="AJ18">
        <f t="shared" si="6"/>
        <v>0</v>
      </c>
      <c r="AK18">
        <f t="shared" si="7"/>
        <v>0</v>
      </c>
      <c r="AL18">
        <f t="shared" si="8"/>
        <v>0</v>
      </c>
      <c r="AN18">
        <f>IF(S18=1,O18,0)</f>
        <v>0</v>
      </c>
      <c r="AO18">
        <f>IF(S18=2,O18,0)</f>
        <v>0</v>
      </c>
      <c r="AP18">
        <f>IF(S18=3,O18,0)</f>
        <v>0</v>
      </c>
      <c r="AQ18">
        <f>IF(S18=4,O18,0)</f>
        <v>0</v>
      </c>
    </row>
    <row r="19" spans="2:43" ht="15.6" x14ac:dyDescent="0.3">
      <c r="B19" t="s">
        <v>38</v>
      </c>
      <c r="C19" s="11" t="s">
        <v>46</v>
      </c>
      <c r="D19" t="s">
        <v>30</v>
      </c>
      <c r="E19">
        <f t="shared" si="9"/>
        <v>0</v>
      </c>
      <c r="F19">
        <f t="shared" si="10"/>
        <v>1</v>
      </c>
      <c r="G19" t="s">
        <v>39</v>
      </c>
      <c r="H19">
        <v>7</v>
      </c>
      <c r="J19" t="s">
        <v>40</v>
      </c>
      <c r="K19" t="s">
        <v>55</v>
      </c>
      <c r="L19" s="5">
        <v>0</v>
      </c>
      <c r="M19" s="4" t="s">
        <v>36</v>
      </c>
      <c r="O19" s="50">
        <v>1622</v>
      </c>
      <c r="P19" s="1">
        <v>0</v>
      </c>
      <c r="Q19">
        <f t="shared" si="0"/>
        <v>2122</v>
      </c>
      <c r="R19" s="6" t="s">
        <v>34</v>
      </c>
      <c r="S19" s="72">
        <v>3</v>
      </c>
      <c r="T19" s="72">
        <f t="shared" si="11"/>
        <v>82.757999999999996</v>
      </c>
      <c r="U19" s="7" t="str">
        <f>IF(V19=1,$AD$2,IF(V19=2,$AD$1,IF(AND(V19&lt;&gt;1,V19&lt;&gt;20)=TRUE,$AD$3)))</f>
        <v>PAYPAL</v>
      </c>
      <c r="V19" s="68">
        <v>2</v>
      </c>
      <c r="W19" s="5" t="s">
        <v>25</v>
      </c>
      <c r="X19" s="1">
        <f t="shared" si="1"/>
        <v>2122</v>
      </c>
      <c r="Y19" s="1"/>
      <c r="Z19" s="1">
        <f t="shared" si="2"/>
        <v>0</v>
      </c>
      <c r="AA19" s="1">
        <v>125</v>
      </c>
      <c r="AB19" s="1"/>
      <c r="AC19">
        <f t="shared" si="12"/>
        <v>1497</v>
      </c>
      <c r="AD19" s="1"/>
      <c r="AE19" s="1">
        <f t="shared" si="13"/>
        <v>30</v>
      </c>
      <c r="AF19" s="1">
        <f t="shared" si="3"/>
        <v>1467</v>
      </c>
      <c r="AG19" s="1">
        <f t="shared" si="4"/>
        <v>1467</v>
      </c>
      <c r="AI19">
        <f t="shared" si="5"/>
        <v>0</v>
      </c>
      <c r="AJ19">
        <f t="shared" si="6"/>
        <v>0</v>
      </c>
      <c r="AK19">
        <f t="shared" si="7"/>
        <v>1622</v>
      </c>
      <c r="AL19">
        <f t="shared" si="8"/>
        <v>0</v>
      </c>
      <c r="AN19">
        <f t="shared" ref="AN19:AN33" si="14">IF(S19=1,O19,0)</f>
        <v>0</v>
      </c>
      <c r="AO19">
        <f t="shared" ref="AO19:AO33" si="15">IF(S19=2,O19,0)</f>
        <v>0</v>
      </c>
      <c r="AP19">
        <f t="shared" ref="AP19:AP33" si="16">IF(S19=3,O19,0)</f>
        <v>1622</v>
      </c>
      <c r="AQ19">
        <f t="shared" ref="AQ19:AQ33" si="17">IF(S19=4,O19,0)</f>
        <v>0</v>
      </c>
    </row>
    <row r="20" spans="2:43" ht="15.6" x14ac:dyDescent="0.3">
      <c r="C20" s="11"/>
      <c r="E20">
        <f t="shared" si="9"/>
        <v>0</v>
      </c>
      <c r="F20">
        <f t="shared" si="10"/>
        <v>1</v>
      </c>
      <c r="M20" s="4"/>
      <c r="O20" s="50"/>
      <c r="P20" s="1"/>
      <c r="Q20">
        <f t="shared" si="0"/>
        <v>500</v>
      </c>
      <c r="R20" s="6"/>
      <c r="S20" s="72"/>
      <c r="T20" s="72">
        <f t="shared" si="11"/>
        <v>0</v>
      </c>
      <c r="U20" s="7" t="str">
        <f>IF(V20=1,$AD$2,IF(V20=2,$AD$1,IF(AND(V20&lt;&gt;1,V20&lt;&gt;20)=TRUE,$AD$3)))</f>
        <v>NONE</v>
      </c>
      <c r="V20" s="68"/>
      <c r="W20" s="5"/>
      <c r="X20" s="1">
        <v>0</v>
      </c>
      <c r="Y20" s="1"/>
      <c r="Z20" s="1">
        <f t="shared" si="2"/>
        <v>0</v>
      </c>
      <c r="AA20" s="1">
        <v>0</v>
      </c>
      <c r="AB20" s="1"/>
      <c r="AC20">
        <f t="shared" si="12"/>
        <v>0</v>
      </c>
      <c r="AD20" s="1"/>
      <c r="AE20" s="1">
        <f t="shared" si="13"/>
        <v>0</v>
      </c>
      <c r="AF20" s="1">
        <f t="shared" si="3"/>
        <v>0</v>
      </c>
      <c r="AG20" s="1">
        <f t="shared" si="4"/>
        <v>0</v>
      </c>
      <c r="AI20">
        <f t="shared" si="5"/>
        <v>0</v>
      </c>
      <c r="AJ20">
        <f t="shared" si="6"/>
        <v>0</v>
      </c>
      <c r="AK20">
        <f t="shared" si="7"/>
        <v>0</v>
      </c>
      <c r="AL20">
        <f t="shared" si="8"/>
        <v>0</v>
      </c>
      <c r="AN20">
        <f t="shared" si="14"/>
        <v>0</v>
      </c>
      <c r="AO20">
        <f t="shared" si="15"/>
        <v>0</v>
      </c>
      <c r="AP20">
        <f t="shared" si="16"/>
        <v>0</v>
      </c>
      <c r="AQ20">
        <f t="shared" si="17"/>
        <v>0</v>
      </c>
    </row>
    <row r="21" spans="2:43" x14ac:dyDescent="0.3">
      <c r="B21" s="16" t="s">
        <v>59</v>
      </c>
      <c r="C21" s="16" t="s">
        <v>60</v>
      </c>
      <c r="D21" s="16" t="s">
        <v>61</v>
      </c>
      <c r="E21">
        <f t="shared" si="9"/>
        <v>0</v>
      </c>
      <c r="F21">
        <f t="shared" si="10"/>
        <v>1</v>
      </c>
      <c r="G21" s="16" t="s">
        <v>62</v>
      </c>
      <c r="H21" s="16">
        <v>14</v>
      </c>
      <c r="I21" s="16"/>
      <c r="J21" s="16" t="s">
        <v>63</v>
      </c>
      <c r="K21" t="s">
        <v>55</v>
      </c>
      <c r="L21" s="5">
        <v>3</v>
      </c>
      <c r="M21" s="4" t="s">
        <v>36</v>
      </c>
      <c r="O21" s="50">
        <v>2796</v>
      </c>
      <c r="P21" s="1">
        <v>1118</v>
      </c>
      <c r="Q21">
        <f t="shared" si="0"/>
        <v>2178</v>
      </c>
      <c r="R21" s="6" t="s">
        <v>67</v>
      </c>
      <c r="S21" s="72">
        <v>3</v>
      </c>
      <c r="T21" s="72">
        <f t="shared" si="11"/>
        <v>0</v>
      </c>
      <c r="U21" s="7" t="str">
        <f t="shared" ref="U21:U33" si="18">IF(V21=1,$AD$2,IF(V21=2,$AD$1,IF(AND(V21&lt;&gt;1,V21&lt;&gt;20)=TRUE,$AD$3)))</f>
        <v>NONE</v>
      </c>
      <c r="V21" s="68"/>
      <c r="W21" s="5" t="s">
        <v>123</v>
      </c>
      <c r="X21" s="1">
        <f t="shared" si="1"/>
        <v>3296</v>
      </c>
      <c r="Y21" s="1"/>
      <c r="Z21" s="1">
        <f t="shared" si="2"/>
        <v>0</v>
      </c>
      <c r="AA21" s="1">
        <v>130</v>
      </c>
      <c r="AB21" s="1"/>
      <c r="AC21">
        <f t="shared" si="12"/>
        <v>2666</v>
      </c>
      <c r="AD21" s="1"/>
      <c r="AE21" s="1">
        <f t="shared" si="13"/>
        <v>30</v>
      </c>
      <c r="AF21" s="1">
        <f t="shared" si="3"/>
        <v>2636</v>
      </c>
      <c r="AG21" s="1">
        <f t="shared" si="4"/>
        <v>2636</v>
      </c>
      <c r="AI21">
        <f t="shared" si="5"/>
        <v>0</v>
      </c>
      <c r="AJ21">
        <f t="shared" si="6"/>
        <v>0</v>
      </c>
      <c r="AK21">
        <f t="shared" si="7"/>
        <v>2796</v>
      </c>
      <c r="AL21">
        <f t="shared" si="8"/>
        <v>0</v>
      </c>
      <c r="AN21">
        <f t="shared" si="14"/>
        <v>0</v>
      </c>
      <c r="AO21">
        <f t="shared" si="15"/>
        <v>0</v>
      </c>
      <c r="AP21">
        <f t="shared" si="16"/>
        <v>2796</v>
      </c>
      <c r="AQ21">
        <f t="shared" si="17"/>
        <v>0</v>
      </c>
    </row>
    <row r="22" spans="2:43" x14ac:dyDescent="0.3">
      <c r="B22" s="16" t="s">
        <v>88</v>
      </c>
      <c r="C22" t="s">
        <v>87</v>
      </c>
      <c r="D22" s="16" t="s">
        <v>89</v>
      </c>
      <c r="E22">
        <f t="shared" si="9"/>
        <v>0</v>
      </c>
      <c r="F22">
        <f t="shared" si="10"/>
        <v>1</v>
      </c>
      <c r="G22" s="16" t="s">
        <v>91</v>
      </c>
      <c r="H22" s="16">
        <v>7</v>
      </c>
      <c r="I22" s="16"/>
      <c r="J22" s="16" t="s">
        <v>90</v>
      </c>
      <c r="K22" t="s">
        <v>55</v>
      </c>
      <c r="L22" s="5">
        <v>0</v>
      </c>
      <c r="M22" s="4" t="s">
        <v>36</v>
      </c>
      <c r="O22" s="50">
        <v>1200</v>
      </c>
      <c r="P22" s="1">
        <f>O22*0.4</f>
        <v>480</v>
      </c>
      <c r="Q22">
        <f t="shared" si="0"/>
        <v>1220</v>
      </c>
      <c r="R22" s="6" t="s">
        <v>92</v>
      </c>
      <c r="S22" s="72">
        <v>3</v>
      </c>
      <c r="T22" s="72">
        <f t="shared" si="11"/>
        <v>0</v>
      </c>
      <c r="U22" s="7" t="str">
        <f t="shared" si="18"/>
        <v>NONE</v>
      </c>
      <c r="V22" s="68"/>
      <c r="W22" s="5" t="s">
        <v>133</v>
      </c>
      <c r="X22" s="1">
        <f t="shared" si="1"/>
        <v>1700</v>
      </c>
      <c r="Y22" s="1"/>
      <c r="Z22" s="1">
        <f t="shared" si="2"/>
        <v>0</v>
      </c>
      <c r="AA22" s="1">
        <v>130</v>
      </c>
      <c r="AB22" s="1"/>
      <c r="AC22">
        <f t="shared" si="12"/>
        <v>1070</v>
      </c>
      <c r="AD22" s="1"/>
      <c r="AE22" s="1">
        <f t="shared" si="13"/>
        <v>30</v>
      </c>
      <c r="AF22" s="1">
        <f t="shared" si="3"/>
        <v>1040</v>
      </c>
      <c r="AG22" s="1">
        <f t="shared" si="4"/>
        <v>1040</v>
      </c>
      <c r="AI22">
        <f t="shared" si="5"/>
        <v>0</v>
      </c>
      <c r="AJ22">
        <f t="shared" si="6"/>
        <v>0</v>
      </c>
      <c r="AK22">
        <f t="shared" si="7"/>
        <v>1200</v>
      </c>
      <c r="AL22">
        <f t="shared" si="8"/>
        <v>0</v>
      </c>
      <c r="AN22">
        <f t="shared" si="14"/>
        <v>0</v>
      </c>
      <c r="AO22">
        <f t="shared" si="15"/>
        <v>0</v>
      </c>
      <c r="AP22">
        <f t="shared" si="16"/>
        <v>1200</v>
      </c>
      <c r="AQ22">
        <f t="shared" si="17"/>
        <v>0</v>
      </c>
    </row>
    <row r="23" spans="2:43" x14ac:dyDescent="0.3">
      <c r="B23" s="16" t="s">
        <v>71</v>
      </c>
      <c r="C23" s="16" t="s">
        <v>73</v>
      </c>
      <c r="D23" s="16" t="s">
        <v>89</v>
      </c>
      <c r="E23">
        <f t="shared" si="9"/>
        <v>0</v>
      </c>
      <c r="F23">
        <f t="shared" si="10"/>
        <v>1</v>
      </c>
      <c r="G23" s="16" t="s">
        <v>72</v>
      </c>
      <c r="H23" s="16">
        <v>11</v>
      </c>
      <c r="I23" s="16"/>
      <c r="J23" s="16" t="s">
        <v>74</v>
      </c>
      <c r="K23" t="s">
        <v>55</v>
      </c>
      <c r="L23" s="5">
        <v>0</v>
      </c>
      <c r="M23" s="4" t="s">
        <v>36</v>
      </c>
      <c r="O23" s="50">
        <f>1819+71</f>
        <v>1890</v>
      </c>
      <c r="P23" s="1">
        <f>2390*0.4</f>
        <v>956</v>
      </c>
      <c r="Q23">
        <f t="shared" si="0"/>
        <v>1434</v>
      </c>
      <c r="R23" s="6" t="s">
        <v>75</v>
      </c>
      <c r="S23" s="72">
        <v>3</v>
      </c>
      <c r="T23" s="72">
        <f t="shared" si="11"/>
        <v>93.21</v>
      </c>
      <c r="U23" s="7" t="str">
        <f t="shared" si="18"/>
        <v>PAYPAL</v>
      </c>
      <c r="V23" s="68">
        <v>2</v>
      </c>
      <c r="W23" s="5" t="s">
        <v>133</v>
      </c>
      <c r="X23" s="1">
        <f t="shared" si="1"/>
        <v>2390</v>
      </c>
      <c r="Y23" s="1"/>
      <c r="Z23" s="1">
        <f t="shared" si="2"/>
        <v>0</v>
      </c>
      <c r="AA23" s="1">
        <v>130</v>
      </c>
      <c r="AB23" s="1"/>
      <c r="AC23">
        <f t="shared" si="12"/>
        <v>1760</v>
      </c>
      <c r="AD23" s="1"/>
      <c r="AE23" s="1">
        <f t="shared" si="13"/>
        <v>30</v>
      </c>
      <c r="AF23" s="1">
        <f t="shared" si="3"/>
        <v>1730</v>
      </c>
      <c r="AG23" s="1">
        <f t="shared" si="4"/>
        <v>1730</v>
      </c>
      <c r="AI23">
        <f t="shared" si="5"/>
        <v>0</v>
      </c>
      <c r="AJ23">
        <f t="shared" si="6"/>
        <v>0</v>
      </c>
      <c r="AK23">
        <f t="shared" si="7"/>
        <v>1890</v>
      </c>
      <c r="AL23">
        <f t="shared" si="8"/>
        <v>0</v>
      </c>
      <c r="AN23">
        <f t="shared" si="14"/>
        <v>0</v>
      </c>
      <c r="AO23">
        <f t="shared" si="15"/>
        <v>0</v>
      </c>
      <c r="AP23">
        <f t="shared" si="16"/>
        <v>1890</v>
      </c>
      <c r="AQ23">
        <f t="shared" si="17"/>
        <v>0</v>
      </c>
    </row>
    <row r="24" spans="2:43" x14ac:dyDescent="0.3">
      <c r="B24" s="16" t="s">
        <v>111</v>
      </c>
      <c r="C24" t="s">
        <v>110</v>
      </c>
      <c r="D24" s="16" t="s">
        <v>30</v>
      </c>
      <c r="E24">
        <f t="shared" si="9"/>
        <v>0</v>
      </c>
      <c r="F24">
        <f t="shared" si="10"/>
        <v>1</v>
      </c>
      <c r="G24" s="16" t="s">
        <v>112</v>
      </c>
      <c r="H24" s="16">
        <v>7</v>
      </c>
      <c r="I24" s="16"/>
      <c r="J24" s="16" t="s">
        <v>108</v>
      </c>
      <c r="K24" t="s">
        <v>55</v>
      </c>
      <c r="L24" s="5">
        <v>0</v>
      </c>
      <c r="M24" s="4" t="s">
        <v>36</v>
      </c>
      <c r="O24" s="50">
        <v>1202</v>
      </c>
      <c r="P24" s="1">
        <v>681</v>
      </c>
      <c r="Q24">
        <f t="shared" si="0"/>
        <v>1021</v>
      </c>
      <c r="R24" s="6" t="s">
        <v>113</v>
      </c>
      <c r="S24" s="72">
        <v>4</v>
      </c>
      <c r="T24" s="72">
        <f t="shared" si="11"/>
        <v>66.378</v>
      </c>
      <c r="U24" s="7" t="str">
        <f t="shared" si="18"/>
        <v>PAYPAL</v>
      </c>
      <c r="V24" s="68">
        <v>2</v>
      </c>
      <c r="W24" s="5" t="s">
        <v>163</v>
      </c>
      <c r="X24" s="1">
        <f t="shared" si="1"/>
        <v>1702</v>
      </c>
      <c r="Y24" s="1"/>
      <c r="Z24" s="1">
        <f t="shared" si="2"/>
        <v>0</v>
      </c>
      <c r="AA24" s="1">
        <v>130</v>
      </c>
      <c r="AB24" s="1"/>
      <c r="AC24">
        <f t="shared" si="12"/>
        <v>1072</v>
      </c>
      <c r="AD24" s="1"/>
      <c r="AE24" s="1">
        <f t="shared" si="13"/>
        <v>30</v>
      </c>
      <c r="AF24" s="1">
        <f t="shared" si="3"/>
        <v>1042</v>
      </c>
      <c r="AG24" s="1">
        <f t="shared" si="4"/>
        <v>1042</v>
      </c>
      <c r="AI24">
        <f t="shared" si="5"/>
        <v>0</v>
      </c>
      <c r="AJ24">
        <f t="shared" si="6"/>
        <v>0</v>
      </c>
      <c r="AK24">
        <f t="shared" si="7"/>
        <v>0</v>
      </c>
      <c r="AL24">
        <f t="shared" si="8"/>
        <v>1202</v>
      </c>
      <c r="AN24">
        <f t="shared" si="14"/>
        <v>0</v>
      </c>
      <c r="AO24">
        <f t="shared" si="15"/>
        <v>0</v>
      </c>
      <c r="AP24">
        <f t="shared" si="16"/>
        <v>0</v>
      </c>
      <c r="AQ24">
        <f t="shared" si="17"/>
        <v>1202</v>
      </c>
    </row>
    <row r="25" spans="2:43" ht="18" customHeight="1" x14ac:dyDescent="0.3">
      <c r="B25" s="16" t="s">
        <v>47</v>
      </c>
      <c r="C25" t="s">
        <v>48</v>
      </c>
      <c r="D25" s="16" t="s">
        <v>30</v>
      </c>
      <c r="E25">
        <f t="shared" si="9"/>
        <v>0</v>
      </c>
      <c r="F25">
        <f t="shared" si="10"/>
        <v>1</v>
      </c>
      <c r="G25" s="16" t="s">
        <v>49</v>
      </c>
      <c r="H25" s="16">
        <v>7</v>
      </c>
      <c r="I25" s="16"/>
      <c r="J25" s="16" t="s">
        <v>64</v>
      </c>
      <c r="K25" t="s">
        <v>55</v>
      </c>
      <c r="L25" s="5">
        <v>0</v>
      </c>
      <c r="M25" s="4" t="s">
        <v>36</v>
      </c>
      <c r="O25" s="50">
        <v>1600</v>
      </c>
      <c r="P25" s="1">
        <v>840</v>
      </c>
      <c r="Q25">
        <f t="shared" si="0"/>
        <v>1260</v>
      </c>
      <c r="R25" s="6" t="s">
        <v>94</v>
      </c>
      <c r="S25" s="72">
        <v>4</v>
      </c>
      <c r="T25" s="72">
        <f t="shared" si="11"/>
        <v>0</v>
      </c>
      <c r="U25" s="7" t="str">
        <f t="shared" si="18"/>
        <v>NONE</v>
      </c>
      <c r="V25" s="68"/>
      <c r="W25" s="5" t="s">
        <v>170</v>
      </c>
      <c r="X25" s="1">
        <f t="shared" si="1"/>
        <v>2100</v>
      </c>
      <c r="Y25" s="1"/>
      <c r="Z25" s="1">
        <f t="shared" si="2"/>
        <v>0</v>
      </c>
      <c r="AA25" s="1">
        <v>130</v>
      </c>
      <c r="AB25" s="1"/>
      <c r="AC25">
        <f t="shared" si="12"/>
        <v>1470</v>
      </c>
      <c r="AD25" s="1"/>
      <c r="AE25" s="1">
        <f t="shared" si="13"/>
        <v>30</v>
      </c>
      <c r="AF25" s="1">
        <f t="shared" si="3"/>
        <v>1440</v>
      </c>
      <c r="AG25" s="1">
        <f t="shared" si="4"/>
        <v>1440</v>
      </c>
      <c r="AI25">
        <f t="shared" si="5"/>
        <v>0</v>
      </c>
      <c r="AJ25">
        <f t="shared" si="6"/>
        <v>0</v>
      </c>
      <c r="AK25">
        <f t="shared" si="7"/>
        <v>0</v>
      </c>
      <c r="AL25">
        <f t="shared" si="8"/>
        <v>1600</v>
      </c>
      <c r="AN25">
        <f t="shared" si="14"/>
        <v>0</v>
      </c>
      <c r="AO25">
        <f t="shared" si="15"/>
        <v>0</v>
      </c>
      <c r="AP25">
        <f t="shared" si="16"/>
        <v>0</v>
      </c>
      <c r="AQ25">
        <f t="shared" si="17"/>
        <v>1600</v>
      </c>
    </row>
    <row r="26" spans="2:43" x14ac:dyDescent="0.3">
      <c r="B26" s="16" t="s">
        <v>77</v>
      </c>
      <c r="C26" t="s">
        <v>78</v>
      </c>
      <c r="D26" s="16" t="s">
        <v>30</v>
      </c>
      <c r="E26">
        <f t="shared" si="9"/>
        <v>0</v>
      </c>
      <c r="F26">
        <f t="shared" si="10"/>
        <v>1</v>
      </c>
      <c r="G26" s="16" t="s">
        <v>79</v>
      </c>
      <c r="H26" s="16">
        <v>14</v>
      </c>
      <c r="I26" s="16"/>
      <c r="J26" s="16" t="s">
        <v>80</v>
      </c>
      <c r="K26" t="s">
        <v>55</v>
      </c>
      <c r="L26" s="5">
        <v>0</v>
      </c>
      <c r="M26" s="4" t="s">
        <v>36</v>
      </c>
      <c r="O26" s="50">
        <v>2234</v>
      </c>
      <c r="P26" s="1">
        <v>894</v>
      </c>
      <c r="Q26">
        <f t="shared" si="0"/>
        <v>1840</v>
      </c>
      <c r="R26" s="6" t="s">
        <v>81</v>
      </c>
      <c r="S26" s="72">
        <v>4</v>
      </c>
      <c r="T26" s="72">
        <f t="shared" si="11"/>
        <v>106.626</v>
      </c>
      <c r="U26" s="7" t="str">
        <f t="shared" si="18"/>
        <v>PAYPAL</v>
      </c>
      <c r="V26" s="68">
        <v>2</v>
      </c>
      <c r="W26" s="5" t="s">
        <v>163</v>
      </c>
      <c r="X26" s="1">
        <f t="shared" si="1"/>
        <v>2734</v>
      </c>
      <c r="Y26" s="1"/>
      <c r="Z26" s="1">
        <f t="shared" si="2"/>
        <v>0</v>
      </c>
      <c r="AA26" s="1">
        <v>130</v>
      </c>
      <c r="AB26" s="1"/>
      <c r="AC26">
        <f t="shared" si="12"/>
        <v>2104</v>
      </c>
      <c r="AD26" s="1"/>
      <c r="AE26" s="1">
        <f t="shared" si="13"/>
        <v>30</v>
      </c>
      <c r="AF26" s="1">
        <f t="shared" si="3"/>
        <v>2074</v>
      </c>
      <c r="AG26" s="1">
        <f t="shared" si="4"/>
        <v>2074</v>
      </c>
      <c r="AI26">
        <f t="shared" si="5"/>
        <v>0</v>
      </c>
      <c r="AJ26">
        <f t="shared" si="6"/>
        <v>0</v>
      </c>
      <c r="AK26">
        <f t="shared" si="7"/>
        <v>0</v>
      </c>
      <c r="AL26">
        <f t="shared" si="8"/>
        <v>2234</v>
      </c>
      <c r="AN26">
        <f t="shared" si="14"/>
        <v>0</v>
      </c>
      <c r="AO26">
        <f t="shared" si="15"/>
        <v>0</v>
      </c>
      <c r="AP26">
        <f t="shared" si="16"/>
        <v>0</v>
      </c>
      <c r="AQ26">
        <f t="shared" si="17"/>
        <v>2234</v>
      </c>
    </row>
    <row r="27" spans="2:43" x14ac:dyDescent="0.3">
      <c r="B27" t="s">
        <v>144</v>
      </c>
      <c r="C27" s="17" t="s">
        <v>124</v>
      </c>
      <c r="D27" s="16" t="s">
        <v>61</v>
      </c>
      <c r="E27">
        <f t="shared" si="9"/>
        <v>0</v>
      </c>
      <c r="F27">
        <f t="shared" si="10"/>
        <v>1</v>
      </c>
      <c r="G27" t="s">
        <v>127</v>
      </c>
      <c r="H27" s="16">
        <v>9</v>
      </c>
      <c r="I27" s="16"/>
      <c r="J27" s="16" t="s">
        <v>74</v>
      </c>
      <c r="K27" s="16" t="s">
        <v>55</v>
      </c>
      <c r="L27" s="5">
        <v>0</v>
      </c>
      <c r="M27" s="4" t="s">
        <v>36</v>
      </c>
      <c r="O27" s="50">
        <v>1632</v>
      </c>
      <c r="P27" s="1">
        <v>653</v>
      </c>
      <c r="Q27">
        <f t="shared" si="0"/>
        <v>1479</v>
      </c>
      <c r="R27" s="6" t="s">
        <v>126</v>
      </c>
      <c r="S27" s="72">
        <v>4</v>
      </c>
      <c r="T27" s="72">
        <f t="shared" si="11"/>
        <v>83.147999999999996</v>
      </c>
      <c r="U27" s="7" t="str">
        <f t="shared" si="18"/>
        <v>PAYPAL</v>
      </c>
      <c r="V27" s="68">
        <v>2</v>
      </c>
      <c r="W27" s="5" t="s">
        <v>171</v>
      </c>
      <c r="X27" s="1">
        <f>Q27+P27</f>
        <v>2132</v>
      </c>
      <c r="Y27" s="1"/>
      <c r="Z27" s="1">
        <f t="shared" si="2"/>
        <v>0</v>
      </c>
      <c r="AA27" s="1">
        <v>130</v>
      </c>
      <c r="AB27" s="1"/>
      <c r="AC27">
        <f t="shared" si="12"/>
        <v>1502</v>
      </c>
      <c r="AD27" s="1"/>
      <c r="AE27" s="1">
        <f t="shared" si="13"/>
        <v>30</v>
      </c>
      <c r="AF27" s="1">
        <f t="shared" si="3"/>
        <v>1472</v>
      </c>
      <c r="AG27" s="1">
        <f t="shared" si="4"/>
        <v>1472</v>
      </c>
      <c r="AI27">
        <f t="shared" si="5"/>
        <v>0</v>
      </c>
      <c r="AJ27">
        <f t="shared" si="6"/>
        <v>0</v>
      </c>
      <c r="AK27">
        <f t="shared" si="7"/>
        <v>0</v>
      </c>
      <c r="AL27">
        <f t="shared" si="8"/>
        <v>1632</v>
      </c>
      <c r="AN27">
        <f t="shared" si="14"/>
        <v>0</v>
      </c>
      <c r="AO27">
        <f t="shared" si="15"/>
        <v>0</v>
      </c>
      <c r="AP27">
        <f t="shared" si="16"/>
        <v>0</v>
      </c>
      <c r="AQ27">
        <f t="shared" si="17"/>
        <v>1632</v>
      </c>
    </row>
    <row r="28" spans="2:43" x14ac:dyDescent="0.3">
      <c r="B28" s="16" t="s">
        <v>105</v>
      </c>
      <c r="C28" t="s">
        <v>109</v>
      </c>
      <c r="D28" s="16" t="s">
        <v>42</v>
      </c>
      <c r="E28">
        <f t="shared" si="9"/>
        <v>6</v>
      </c>
      <c r="F28">
        <f t="shared" si="10"/>
        <v>0</v>
      </c>
      <c r="G28" t="s">
        <v>120</v>
      </c>
      <c r="H28" s="16">
        <v>6</v>
      </c>
      <c r="I28" s="16"/>
      <c r="J28" s="16" t="s">
        <v>108</v>
      </c>
      <c r="K28" t="s">
        <v>55</v>
      </c>
      <c r="L28" s="5">
        <v>0</v>
      </c>
      <c r="M28" s="4" t="s">
        <v>36</v>
      </c>
      <c r="O28" s="50">
        <v>0</v>
      </c>
      <c r="P28" s="1">
        <v>0</v>
      </c>
      <c r="Q28">
        <v>0</v>
      </c>
      <c r="R28" s="6" t="s">
        <v>42</v>
      </c>
      <c r="S28" s="72">
        <v>4</v>
      </c>
      <c r="T28" s="72">
        <f t="shared" si="11"/>
        <v>0</v>
      </c>
      <c r="U28" s="7" t="str">
        <f t="shared" si="18"/>
        <v>NONE</v>
      </c>
      <c r="V28" s="68"/>
      <c r="W28" s="5"/>
      <c r="X28" s="1">
        <f t="shared" ref="X28:X72" si="19">Q28+P28</f>
        <v>0</v>
      </c>
      <c r="Y28" s="1"/>
      <c r="Z28" s="1">
        <f t="shared" si="2"/>
        <v>0</v>
      </c>
      <c r="AA28" s="1">
        <v>130</v>
      </c>
      <c r="AB28" s="1"/>
      <c r="AC28">
        <f t="shared" si="12"/>
        <v>-130</v>
      </c>
      <c r="AD28" s="1"/>
      <c r="AE28" s="1">
        <f t="shared" si="13"/>
        <v>0</v>
      </c>
      <c r="AF28" s="1">
        <f t="shared" si="3"/>
        <v>0</v>
      </c>
      <c r="AG28" s="1">
        <f t="shared" si="4"/>
        <v>-130</v>
      </c>
      <c r="AI28">
        <f t="shared" si="5"/>
        <v>0</v>
      </c>
      <c r="AJ28">
        <f t="shared" si="6"/>
        <v>0</v>
      </c>
      <c r="AK28">
        <f t="shared" si="7"/>
        <v>0</v>
      </c>
      <c r="AL28">
        <f t="shared" si="8"/>
        <v>0</v>
      </c>
      <c r="AN28">
        <f t="shared" si="14"/>
        <v>0</v>
      </c>
      <c r="AO28">
        <f t="shared" si="15"/>
        <v>0</v>
      </c>
      <c r="AP28">
        <f t="shared" si="16"/>
        <v>0</v>
      </c>
      <c r="AQ28">
        <f t="shared" si="17"/>
        <v>0</v>
      </c>
    </row>
    <row r="29" spans="2:43" x14ac:dyDescent="0.3">
      <c r="B29" s="16" t="s">
        <v>82</v>
      </c>
      <c r="C29" s="8" t="s">
        <v>41</v>
      </c>
      <c r="D29" s="16" t="s">
        <v>42</v>
      </c>
      <c r="E29">
        <f t="shared" si="9"/>
        <v>2</v>
      </c>
      <c r="F29">
        <f t="shared" si="10"/>
        <v>0</v>
      </c>
      <c r="G29" t="s">
        <v>128</v>
      </c>
      <c r="H29" s="16">
        <v>2</v>
      </c>
      <c r="I29" s="16"/>
      <c r="J29" s="16" t="s">
        <v>93</v>
      </c>
      <c r="K29" t="s">
        <v>55</v>
      </c>
      <c r="L29" s="5">
        <v>0</v>
      </c>
      <c r="M29" s="4" t="s">
        <v>36</v>
      </c>
      <c r="O29" s="50"/>
      <c r="P29" s="1"/>
      <c r="R29" s="6"/>
      <c r="S29" s="72">
        <v>4</v>
      </c>
      <c r="T29" s="72">
        <f t="shared" si="11"/>
        <v>0</v>
      </c>
      <c r="U29" s="7" t="str">
        <f t="shared" si="18"/>
        <v>NONE</v>
      </c>
      <c r="V29" s="68"/>
      <c r="W29" s="5"/>
      <c r="X29" s="1">
        <f t="shared" si="19"/>
        <v>0</v>
      </c>
      <c r="Y29" s="1"/>
      <c r="Z29" s="1">
        <f t="shared" si="2"/>
        <v>0</v>
      </c>
      <c r="AA29" s="1">
        <v>130</v>
      </c>
      <c r="AB29" s="1"/>
      <c r="AC29">
        <f t="shared" si="12"/>
        <v>-130</v>
      </c>
      <c r="AD29" s="1"/>
      <c r="AE29" s="1">
        <f t="shared" si="13"/>
        <v>0</v>
      </c>
      <c r="AF29" s="1">
        <f t="shared" si="3"/>
        <v>0</v>
      </c>
      <c r="AG29" s="1">
        <f t="shared" si="4"/>
        <v>-130</v>
      </c>
      <c r="AI29">
        <f t="shared" si="5"/>
        <v>0</v>
      </c>
      <c r="AJ29">
        <f t="shared" si="6"/>
        <v>0</v>
      </c>
      <c r="AK29">
        <f t="shared" si="7"/>
        <v>0</v>
      </c>
      <c r="AL29">
        <f t="shared" si="8"/>
        <v>0</v>
      </c>
      <c r="AN29">
        <f t="shared" si="14"/>
        <v>0</v>
      </c>
      <c r="AO29">
        <f t="shared" si="15"/>
        <v>0</v>
      </c>
      <c r="AP29">
        <f t="shared" si="16"/>
        <v>0</v>
      </c>
      <c r="AQ29">
        <f t="shared" si="17"/>
        <v>0</v>
      </c>
    </row>
    <row r="30" spans="2:43" x14ac:dyDescent="0.3">
      <c r="B30" s="16" t="s">
        <v>100</v>
      </c>
      <c r="C30" s="16" t="s">
        <v>101</v>
      </c>
      <c r="D30" s="16" t="s">
        <v>61</v>
      </c>
      <c r="E30">
        <f t="shared" si="9"/>
        <v>0</v>
      </c>
      <c r="F30">
        <f t="shared" si="10"/>
        <v>1</v>
      </c>
      <c r="G30" s="16" t="s">
        <v>102</v>
      </c>
      <c r="H30" s="16">
        <v>7</v>
      </c>
      <c r="I30" s="16"/>
      <c r="J30" s="16" t="s">
        <v>103</v>
      </c>
      <c r="K30" t="s">
        <v>55</v>
      </c>
      <c r="L30" s="5">
        <v>0</v>
      </c>
      <c r="M30" s="4" t="s">
        <v>36</v>
      </c>
      <c r="O30" s="50">
        <v>1431</v>
      </c>
      <c r="P30" s="1">
        <v>544</v>
      </c>
      <c r="Q30">
        <f>(O30+500)-P30</f>
        <v>1387</v>
      </c>
      <c r="R30" s="6" t="s">
        <v>104</v>
      </c>
      <c r="S30" s="72">
        <v>4</v>
      </c>
      <c r="T30" s="72">
        <f t="shared" si="11"/>
        <v>75.308999999999997</v>
      </c>
      <c r="U30" s="7" t="str">
        <f t="shared" si="18"/>
        <v>PAYPAL</v>
      </c>
      <c r="V30" s="68">
        <v>2</v>
      </c>
      <c r="W30" t="s">
        <v>163</v>
      </c>
      <c r="X30" s="1">
        <f t="shared" si="19"/>
        <v>1931</v>
      </c>
      <c r="Y30" s="1"/>
      <c r="Z30" s="1">
        <f t="shared" si="2"/>
        <v>0</v>
      </c>
      <c r="AA30" s="1">
        <v>130</v>
      </c>
      <c r="AB30" s="1"/>
      <c r="AC30">
        <f t="shared" si="12"/>
        <v>1301</v>
      </c>
      <c r="AD30" s="1"/>
      <c r="AE30" s="1">
        <f t="shared" si="13"/>
        <v>30</v>
      </c>
      <c r="AF30" s="1">
        <f t="shared" si="3"/>
        <v>1271</v>
      </c>
      <c r="AG30" s="1">
        <f t="shared" si="4"/>
        <v>1271</v>
      </c>
      <c r="AI30">
        <f t="shared" si="5"/>
        <v>0</v>
      </c>
      <c r="AJ30">
        <f t="shared" si="6"/>
        <v>0</v>
      </c>
      <c r="AK30">
        <f t="shared" si="7"/>
        <v>0</v>
      </c>
      <c r="AL30">
        <f t="shared" si="8"/>
        <v>1431</v>
      </c>
      <c r="AN30">
        <f t="shared" si="14"/>
        <v>0</v>
      </c>
      <c r="AO30">
        <f t="shared" si="15"/>
        <v>0</v>
      </c>
      <c r="AP30">
        <f t="shared" si="16"/>
        <v>0</v>
      </c>
      <c r="AQ30">
        <f t="shared" si="17"/>
        <v>1431</v>
      </c>
    </row>
    <row r="31" spans="2:43" x14ac:dyDescent="0.3">
      <c r="B31" s="16" t="s">
        <v>173</v>
      </c>
      <c r="C31" t="s">
        <v>172</v>
      </c>
      <c r="D31" s="16" t="s">
        <v>89</v>
      </c>
      <c r="E31">
        <f t="shared" si="9"/>
        <v>0</v>
      </c>
      <c r="G31" t="s">
        <v>178</v>
      </c>
      <c r="H31" s="16">
        <v>8</v>
      </c>
      <c r="I31" s="16"/>
      <c r="J31" s="16" t="s">
        <v>174</v>
      </c>
      <c r="K31" t="s">
        <v>55</v>
      </c>
      <c r="L31" s="5">
        <v>0</v>
      </c>
      <c r="M31" s="4" t="s">
        <v>36</v>
      </c>
      <c r="O31" s="50">
        <v>1296</v>
      </c>
      <c r="P31" s="1">
        <v>527</v>
      </c>
      <c r="Q31">
        <f>IF(O31&gt;0,((O31+500)-P31),0)</f>
        <v>1269</v>
      </c>
      <c r="R31" s="6" t="s">
        <v>156</v>
      </c>
      <c r="S31" s="72">
        <v>4</v>
      </c>
      <c r="T31" s="72">
        <f t="shared" si="11"/>
        <v>70.043999999999997</v>
      </c>
      <c r="U31" s="7" t="str">
        <f t="shared" si="18"/>
        <v>PAYPAL</v>
      </c>
      <c r="V31" s="68">
        <v>2</v>
      </c>
      <c r="W31" s="5" t="s">
        <v>25</v>
      </c>
      <c r="X31" s="1">
        <f t="shared" si="19"/>
        <v>1796</v>
      </c>
      <c r="Y31" s="1"/>
      <c r="Z31" s="1">
        <f t="shared" si="2"/>
        <v>0</v>
      </c>
      <c r="AA31" s="1">
        <v>130</v>
      </c>
      <c r="AB31" s="1"/>
      <c r="AC31">
        <f>O31-AA31</f>
        <v>1166</v>
      </c>
      <c r="AD31" s="1"/>
      <c r="AE31" s="1">
        <v>30</v>
      </c>
      <c r="AF31" s="1">
        <f t="shared" si="3"/>
        <v>1136</v>
      </c>
      <c r="AG31" s="1">
        <f t="shared" si="4"/>
        <v>1136</v>
      </c>
      <c r="AI31">
        <f t="shared" si="5"/>
        <v>0</v>
      </c>
      <c r="AJ31">
        <f t="shared" si="6"/>
        <v>0</v>
      </c>
      <c r="AK31">
        <f t="shared" si="7"/>
        <v>0</v>
      </c>
      <c r="AL31">
        <f t="shared" si="8"/>
        <v>1296</v>
      </c>
      <c r="AN31">
        <f t="shared" si="14"/>
        <v>0</v>
      </c>
      <c r="AO31">
        <f t="shared" si="15"/>
        <v>0</v>
      </c>
      <c r="AP31">
        <f t="shared" si="16"/>
        <v>0</v>
      </c>
      <c r="AQ31">
        <f t="shared" si="17"/>
        <v>1296</v>
      </c>
    </row>
    <row r="32" spans="2:43" x14ac:dyDescent="0.3">
      <c r="B32" s="8" t="s">
        <v>161</v>
      </c>
      <c r="C32" t="s">
        <v>154</v>
      </c>
      <c r="D32" s="16" t="s">
        <v>155</v>
      </c>
      <c r="E32">
        <f t="shared" si="9"/>
        <v>0</v>
      </c>
      <c r="F32">
        <f t="shared" si="10"/>
        <v>1</v>
      </c>
      <c r="G32" t="s">
        <v>159</v>
      </c>
      <c r="H32" s="16">
        <v>7</v>
      </c>
      <c r="I32" s="16"/>
      <c r="J32" s="16" t="s">
        <v>63</v>
      </c>
      <c r="K32" t="s">
        <v>55</v>
      </c>
      <c r="L32" s="5">
        <v>0</v>
      </c>
      <c r="M32" s="4" t="s">
        <v>36</v>
      </c>
      <c r="O32" s="50">
        <v>1317</v>
      </c>
      <c r="P32" s="1">
        <v>527</v>
      </c>
      <c r="Q32">
        <f>IF(O32&gt;0,((O32+500)-P32),0)</f>
        <v>1290</v>
      </c>
      <c r="R32" s="6" t="s">
        <v>156</v>
      </c>
      <c r="S32" s="72">
        <v>4</v>
      </c>
      <c r="T32" s="72">
        <f t="shared" si="11"/>
        <v>70.863</v>
      </c>
      <c r="U32" s="7" t="str">
        <f t="shared" si="18"/>
        <v>PAYPAL</v>
      </c>
      <c r="V32" s="68">
        <v>2</v>
      </c>
      <c r="W32" s="5" t="s">
        <v>25</v>
      </c>
      <c r="X32" s="1">
        <f>Q32+P32</f>
        <v>1817</v>
      </c>
      <c r="Y32" s="1"/>
      <c r="Z32" s="1">
        <f t="shared" si="2"/>
        <v>0</v>
      </c>
      <c r="AA32" s="1">
        <v>130</v>
      </c>
      <c r="AB32" s="1"/>
      <c r="AC32">
        <f t="shared" si="12"/>
        <v>1187</v>
      </c>
      <c r="AD32" s="1"/>
      <c r="AE32" s="1">
        <f t="shared" si="13"/>
        <v>30</v>
      </c>
      <c r="AF32" s="1">
        <f t="shared" si="3"/>
        <v>1157</v>
      </c>
      <c r="AG32" s="1">
        <f t="shared" si="4"/>
        <v>1157</v>
      </c>
      <c r="AI32">
        <f t="shared" si="5"/>
        <v>0</v>
      </c>
      <c r="AJ32">
        <f t="shared" si="6"/>
        <v>0</v>
      </c>
      <c r="AK32">
        <f t="shared" si="7"/>
        <v>0</v>
      </c>
      <c r="AL32">
        <f t="shared" si="8"/>
        <v>1317</v>
      </c>
      <c r="AN32">
        <f t="shared" si="14"/>
        <v>0</v>
      </c>
      <c r="AO32">
        <f t="shared" si="15"/>
        <v>0</v>
      </c>
      <c r="AP32">
        <f t="shared" si="16"/>
        <v>0</v>
      </c>
      <c r="AQ32">
        <f t="shared" si="17"/>
        <v>1317</v>
      </c>
    </row>
    <row r="33" spans="1:44" x14ac:dyDescent="0.3">
      <c r="B33" s="16" t="s">
        <v>82</v>
      </c>
      <c r="C33" s="8" t="s">
        <v>41</v>
      </c>
      <c r="D33" s="16" t="s">
        <v>42</v>
      </c>
      <c r="E33">
        <f t="shared" si="9"/>
        <v>4</v>
      </c>
      <c r="F33">
        <f t="shared" si="10"/>
        <v>0</v>
      </c>
      <c r="G33" t="s">
        <v>160</v>
      </c>
      <c r="H33" s="16">
        <v>4</v>
      </c>
      <c r="I33" s="16"/>
      <c r="J33" s="16" t="s">
        <v>83</v>
      </c>
      <c r="K33" t="s">
        <v>55</v>
      </c>
      <c r="L33" s="5">
        <v>3</v>
      </c>
      <c r="M33" s="4" t="s">
        <v>36</v>
      </c>
      <c r="O33" s="50">
        <v>0</v>
      </c>
      <c r="P33" s="1">
        <v>0</v>
      </c>
      <c r="Q33">
        <v>0</v>
      </c>
      <c r="R33" s="6"/>
      <c r="S33" s="72">
        <v>4</v>
      </c>
      <c r="T33" s="72">
        <f t="shared" si="11"/>
        <v>0</v>
      </c>
      <c r="U33" s="7" t="str">
        <f t="shared" si="18"/>
        <v>NONE</v>
      </c>
      <c r="V33" s="68"/>
      <c r="W33" s="5"/>
      <c r="X33" s="1">
        <f t="shared" si="19"/>
        <v>0</v>
      </c>
      <c r="Y33" s="1"/>
      <c r="Z33" s="1">
        <f t="shared" si="2"/>
        <v>0</v>
      </c>
      <c r="AA33" s="1">
        <v>130</v>
      </c>
      <c r="AB33" s="1"/>
      <c r="AC33">
        <f>O33-AA33</f>
        <v>-130</v>
      </c>
      <c r="AD33" s="1"/>
      <c r="AE33" s="1">
        <f t="shared" si="13"/>
        <v>0</v>
      </c>
      <c r="AF33" s="1">
        <f t="shared" si="3"/>
        <v>0</v>
      </c>
      <c r="AG33" s="1">
        <f t="shared" si="4"/>
        <v>-130</v>
      </c>
      <c r="AI33">
        <f t="shared" si="5"/>
        <v>0</v>
      </c>
      <c r="AJ33">
        <f t="shared" si="6"/>
        <v>0</v>
      </c>
      <c r="AK33">
        <f t="shared" si="7"/>
        <v>0</v>
      </c>
      <c r="AL33">
        <f t="shared" si="8"/>
        <v>0</v>
      </c>
      <c r="AN33">
        <f t="shared" si="14"/>
        <v>0</v>
      </c>
      <c r="AO33">
        <f t="shared" si="15"/>
        <v>0</v>
      </c>
      <c r="AP33">
        <f t="shared" si="16"/>
        <v>0</v>
      </c>
      <c r="AQ33">
        <f t="shared" si="17"/>
        <v>0</v>
      </c>
    </row>
    <row r="34" spans="1:44" x14ac:dyDescent="0.3">
      <c r="A34" s="45"/>
      <c r="B34" s="192">
        <f>COUNTIFS(D17:D33,"&lt;&gt;NA")-COUNTIFS(D17:D33,"="&amp;$D$1)</f>
        <v>12</v>
      </c>
      <c r="C34" s="174" t="s">
        <v>472</v>
      </c>
      <c r="D34" s="46">
        <f>SUM(E17:E33)</f>
        <v>27</v>
      </c>
      <c r="E34" s="45"/>
      <c r="F34" s="45"/>
      <c r="G34" s="63" t="s">
        <v>215</v>
      </c>
      <c r="H34" s="62">
        <f>SUM(H17:H33)-SUM(E17:E33)</f>
        <v>113</v>
      </c>
      <c r="I34" s="62"/>
      <c r="J34" s="61">
        <f>ROUND(H34/7,0)</f>
        <v>16</v>
      </c>
      <c r="K34" s="61" t="s">
        <v>214</v>
      </c>
      <c r="L34" s="63" t="s">
        <v>216</v>
      </c>
      <c r="M34" s="151">
        <f>ROUND(AF34/J34,0)</f>
        <v>1181</v>
      </c>
      <c r="N34" s="45"/>
      <c r="O34" s="82">
        <f>SUM(O17:O33)</f>
        <v>20876</v>
      </c>
      <c r="P34" s="49"/>
      <c r="Q34" s="80">
        <f>Z34</f>
        <v>0</v>
      </c>
      <c r="R34" s="79" t="s">
        <v>254</v>
      </c>
      <c r="S34" s="126"/>
      <c r="T34" s="73"/>
      <c r="U34" s="49"/>
      <c r="V34" s="69"/>
      <c r="W34" s="47"/>
      <c r="X34" s="49"/>
      <c r="Y34" s="49">
        <f>Z34</f>
        <v>0</v>
      </c>
      <c r="Z34" s="49">
        <f>SUM(Z17:Z33)</f>
        <v>0</v>
      </c>
      <c r="AA34" s="49">
        <f>SUM(AA17:AA33)</f>
        <v>2005</v>
      </c>
      <c r="AB34" s="49">
        <f>AA34</f>
        <v>2005</v>
      </c>
      <c r="AC34" s="45"/>
      <c r="AD34" s="49"/>
      <c r="AE34" s="49">
        <f>SUM(AE17:AE33)</f>
        <v>360</v>
      </c>
      <c r="AF34" s="49">
        <f>SUM(AF17:AF33)</f>
        <v>18901</v>
      </c>
      <c r="AG34" s="82">
        <f>SUM(AG17:AG33)</f>
        <v>18511</v>
      </c>
      <c r="AH34" s="45">
        <f>AG34</f>
        <v>18511</v>
      </c>
      <c r="AI34" s="129">
        <f>SUM(AI17:AI33)</f>
        <v>0</v>
      </c>
      <c r="AJ34" s="129">
        <f t="shared" ref="AJ34:AQ34" si="20">SUM(AJ17:AJ33)</f>
        <v>2656</v>
      </c>
      <c r="AK34" s="129">
        <f t="shared" si="20"/>
        <v>7508</v>
      </c>
      <c r="AL34" s="129">
        <f t="shared" si="20"/>
        <v>10712</v>
      </c>
      <c r="AM34" s="131">
        <f>SUM(AI34:AL34)</f>
        <v>20876</v>
      </c>
      <c r="AN34" s="129">
        <f t="shared" si="20"/>
        <v>0</v>
      </c>
      <c r="AO34" s="129">
        <f t="shared" si="20"/>
        <v>2656</v>
      </c>
      <c r="AP34" s="129">
        <f t="shared" si="20"/>
        <v>7508</v>
      </c>
      <c r="AQ34" s="129">
        <f t="shared" si="20"/>
        <v>10712</v>
      </c>
      <c r="AR34" s="131">
        <f>SUM(AN34:AQ34)</f>
        <v>20876</v>
      </c>
    </row>
    <row r="35" spans="1:44" ht="23.4" x14ac:dyDescent="0.45">
      <c r="A35" s="31"/>
      <c r="B35" s="28">
        <v>2011</v>
      </c>
      <c r="C35" s="29"/>
      <c r="D35" s="30"/>
      <c r="E35" s="31">
        <f t="shared" si="9"/>
        <v>0</v>
      </c>
      <c r="F35" s="31"/>
      <c r="G35" s="30"/>
      <c r="H35" s="30"/>
      <c r="I35" s="30"/>
      <c r="J35" s="30"/>
      <c r="K35" s="31"/>
      <c r="L35" s="32"/>
      <c r="M35" s="33"/>
      <c r="N35" s="31"/>
      <c r="O35" s="34"/>
      <c r="P35" s="34"/>
      <c r="Q35" s="31"/>
      <c r="R35" s="35"/>
      <c r="S35" s="71"/>
      <c r="T35" s="71"/>
      <c r="U35" s="34"/>
      <c r="V35" s="70"/>
      <c r="W35" s="32"/>
      <c r="X35" s="34"/>
      <c r="Y35" s="34"/>
      <c r="Z35" s="34"/>
      <c r="AA35" s="34"/>
      <c r="AB35" s="34"/>
      <c r="AC35" s="31"/>
      <c r="AD35" s="34"/>
      <c r="AE35" s="34"/>
      <c r="AF35" s="34"/>
      <c r="AG35" s="34"/>
      <c r="AI35" s="119">
        <f>ROUNDUP(AI34*0.04,0)</f>
        <v>0</v>
      </c>
      <c r="AJ35" s="119">
        <f>ROUNDUP(AJ34*0.04,0)</f>
        <v>107</v>
      </c>
      <c r="AK35" s="119">
        <f>ROUNDUP(AK34*0.04,0)</f>
        <v>301</v>
      </c>
      <c r="AL35" s="119">
        <f>ROUNDUP(AL34*0.04,0)</f>
        <v>429</v>
      </c>
      <c r="AM35" s="131">
        <f>SUM(AI35:AL35)</f>
        <v>837</v>
      </c>
      <c r="AN35" s="119">
        <f>ROUNDUP(AN34*0.06,0)</f>
        <v>0</v>
      </c>
      <c r="AO35" s="119">
        <f>ROUNDUP(AO34*0.06,0)</f>
        <v>160</v>
      </c>
      <c r="AP35" s="119">
        <f>ROUNDUP(AP34*0.06,0)</f>
        <v>451</v>
      </c>
      <c r="AQ35" s="119">
        <f>ROUNDUP(AQ34*0.06,0)</f>
        <v>643</v>
      </c>
      <c r="AR35" s="131">
        <f>SUM(AN35:AQ35)</f>
        <v>1254</v>
      </c>
    </row>
    <row r="36" spans="1:44" x14ac:dyDescent="0.3">
      <c r="B36" s="104" t="s">
        <v>82</v>
      </c>
      <c r="C36" s="8" t="s">
        <v>41</v>
      </c>
      <c r="D36" s="16" t="s">
        <v>42</v>
      </c>
      <c r="E36">
        <f t="shared" si="9"/>
        <v>58</v>
      </c>
      <c r="F36">
        <f t="shared" ref="F36:F72" si="21">IF(E36&gt;0,0,1)</f>
        <v>0</v>
      </c>
      <c r="G36" t="s">
        <v>229</v>
      </c>
      <c r="H36" s="16">
        <v>58</v>
      </c>
      <c r="I36" s="16"/>
      <c r="J36" s="16" t="s">
        <v>83</v>
      </c>
      <c r="K36" t="s">
        <v>55</v>
      </c>
      <c r="L36" s="5">
        <v>3</v>
      </c>
      <c r="M36" s="4" t="s">
        <v>96</v>
      </c>
      <c r="O36" s="50">
        <v>0</v>
      </c>
      <c r="P36" s="1"/>
      <c r="Q36">
        <v>0</v>
      </c>
      <c r="R36" s="6"/>
      <c r="S36" s="72">
        <v>1</v>
      </c>
      <c r="T36" s="72">
        <f t="shared" ref="T36:T70" si="22">IF(U36=$AD$2,47,IF(U36=$AD$1,((Q36+P36)*0.039),IF(U36=$AD$3,0)))</f>
        <v>0</v>
      </c>
      <c r="U36" s="7" t="str">
        <f t="shared" ref="U36:U72" si="23">IF(V36=1,$AD$2,IF(V36=2,$AD$1,IF(AND(V36&lt;&gt;1,V36&lt;&gt;20)=TRUE,$AD$3)))</f>
        <v>NONE</v>
      </c>
      <c r="V36" s="68"/>
      <c r="W36" s="5" t="s">
        <v>42</v>
      </c>
      <c r="X36" s="1">
        <f t="shared" si="19"/>
        <v>0</v>
      </c>
      <c r="Y36" s="1"/>
      <c r="Z36" s="1">
        <f t="shared" ref="Z36:Z72" si="24">IF(W36=$Z$1,Q36-500,0)</f>
        <v>0</v>
      </c>
      <c r="AA36" s="1">
        <f>390+40</f>
        <v>430</v>
      </c>
      <c r="AB36" s="1"/>
      <c r="AC36">
        <f t="shared" si="12"/>
        <v>-430</v>
      </c>
      <c r="AD36" s="1"/>
      <c r="AE36" s="1">
        <f t="shared" ref="AE36:AE72" si="25">IF(H36&gt;0,30*F36,0)</f>
        <v>0</v>
      </c>
      <c r="AF36" s="1">
        <f>IF(AG36&gt;0,AG36,0)</f>
        <v>0</v>
      </c>
      <c r="AG36" s="1">
        <f>AC36</f>
        <v>-430</v>
      </c>
      <c r="AI36">
        <f>IF(S41=1,O36,0)</f>
        <v>0</v>
      </c>
      <c r="AJ36">
        <f>IF(S41=2,O36,0)</f>
        <v>0</v>
      </c>
      <c r="AK36">
        <f>IF(S41=3,O36,0)</f>
        <v>0</v>
      </c>
      <c r="AL36">
        <f>IF(S41=4,O36,0)</f>
        <v>0</v>
      </c>
      <c r="AN36">
        <f>IF(S36=1,O36,0)</f>
        <v>0</v>
      </c>
      <c r="AO36">
        <f>IF(S36=2,O36,0)</f>
        <v>0</v>
      </c>
      <c r="AP36">
        <f>IF(S36=3,O36,0)</f>
        <v>0</v>
      </c>
      <c r="AQ36">
        <f>IF(S36=4,O36,0)</f>
        <v>0</v>
      </c>
    </row>
    <row r="37" spans="1:44" x14ac:dyDescent="0.3">
      <c r="B37" s="55" t="s">
        <v>151</v>
      </c>
      <c r="C37" t="s">
        <v>152</v>
      </c>
      <c r="D37" t="s">
        <v>89</v>
      </c>
      <c r="E37">
        <f t="shared" si="9"/>
        <v>0</v>
      </c>
      <c r="F37">
        <f t="shared" si="21"/>
        <v>1</v>
      </c>
      <c r="G37" s="8" t="s">
        <v>230</v>
      </c>
      <c r="H37" s="16">
        <v>2</v>
      </c>
      <c r="I37" s="16"/>
      <c r="J37" s="16" t="s">
        <v>83</v>
      </c>
      <c r="K37" t="s">
        <v>55</v>
      </c>
      <c r="L37" s="5">
        <v>0</v>
      </c>
      <c r="M37" s="4" t="s">
        <v>36</v>
      </c>
      <c r="O37" s="50">
        <v>1317</v>
      </c>
      <c r="P37" s="1">
        <v>527</v>
      </c>
      <c r="Q37">
        <f>(O37+500)-P37</f>
        <v>1290</v>
      </c>
      <c r="R37" s="6" t="s">
        <v>153</v>
      </c>
      <c r="S37" s="72">
        <v>1</v>
      </c>
      <c r="T37" s="72">
        <f t="shared" si="22"/>
        <v>70.863</v>
      </c>
      <c r="U37" s="7" t="str">
        <f t="shared" si="23"/>
        <v>PAYPAL</v>
      </c>
      <c r="V37" s="68">
        <v>2</v>
      </c>
      <c r="W37" s="5" t="s">
        <v>25</v>
      </c>
      <c r="X37" s="1">
        <f t="shared" si="19"/>
        <v>1817</v>
      </c>
      <c r="Y37" s="1"/>
      <c r="Z37" s="1">
        <f t="shared" si="24"/>
        <v>0</v>
      </c>
      <c r="AA37" s="1">
        <f>IF(H37&gt;0,130,0)</f>
        <v>130</v>
      </c>
      <c r="AB37" s="1"/>
      <c r="AC37">
        <f t="shared" si="12"/>
        <v>1187</v>
      </c>
      <c r="AD37" s="1"/>
      <c r="AE37" s="1">
        <f t="shared" si="25"/>
        <v>30</v>
      </c>
      <c r="AF37" s="1">
        <f t="shared" ref="AF37:AF72" si="26">IF(AG37&gt;0,AG37,0)</f>
        <v>1157</v>
      </c>
      <c r="AG37" s="1">
        <f t="shared" ref="AG37:AG72" si="27">AC37-AE37</f>
        <v>1157</v>
      </c>
      <c r="AI37">
        <f t="shared" ref="AI37:AI72" si="28">IF(S37=1,O37,0)</f>
        <v>1317</v>
      </c>
      <c r="AJ37">
        <f t="shared" ref="AJ37:AJ72" si="29">IF(S37=2,O37,0)</f>
        <v>0</v>
      </c>
      <c r="AK37">
        <f t="shared" ref="AK37:AK72" si="30">IF(S37=3,O37,0)</f>
        <v>0</v>
      </c>
      <c r="AL37">
        <f t="shared" ref="AL37:AL72" si="31">IF(S37=4,O37,0)</f>
        <v>0</v>
      </c>
      <c r="AN37">
        <f t="shared" ref="AN37:AN72" si="32">IF(S37=1,O37,0)</f>
        <v>1317</v>
      </c>
      <c r="AO37">
        <f t="shared" ref="AO37:AO72" si="33">IF(S37=2,O37,0)</f>
        <v>0</v>
      </c>
      <c r="AP37">
        <f t="shared" ref="AP37:AP72" si="34">IF(S37=3,O37,0)</f>
        <v>0</v>
      </c>
      <c r="AQ37">
        <f t="shared" ref="AQ37:AQ72" si="35">IF(S37=4,O37,0)</f>
        <v>0</v>
      </c>
    </row>
    <row r="38" spans="1:44" x14ac:dyDescent="0.3">
      <c r="B38" t="s">
        <v>192</v>
      </c>
      <c r="C38" t="s">
        <v>109</v>
      </c>
      <c r="D38" s="16" t="s">
        <v>42</v>
      </c>
      <c r="E38">
        <f>IF(D38=$B$12,H38,0)</f>
        <v>4</v>
      </c>
      <c r="F38">
        <f>IF(E38&gt;0,0,1)</f>
        <v>0</v>
      </c>
      <c r="G38" t="s">
        <v>193</v>
      </c>
      <c r="H38" s="16">
        <v>4</v>
      </c>
      <c r="I38" s="16"/>
      <c r="J38" s="16" t="s">
        <v>190</v>
      </c>
      <c r="K38" t="s">
        <v>55</v>
      </c>
      <c r="L38" s="5" t="s">
        <v>55</v>
      </c>
      <c r="M38" s="4" t="s">
        <v>191</v>
      </c>
      <c r="O38" s="50">
        <v>0</v>
      </c>
      <c r="P38" s="1">
        <f>ROUND((O38*0.4),0)</f>
        <v>0</v>
      </c>
      <c r="Q38">
        <f>IF(O38&gt;0,((O38+500)-P38),0)</f>
        <v>0</v>
      </c>
      <c r="R38" s="6"/>
      <c r="S38" s="72">
        <v>1</v>
      </c>
      <c r="T38" s="72">
        <f t="shared" si="22"/>
        <v>0</v>
      </c>
      <c r="U38" s="7" t="str">
        <f t="shared" si="23"/>
        <v>NONE</v>
      </c>
      <c r="V38" s="68"/>
      <c r="W38" s="5"/>
      <c r="X38" s="1">
        <f t="shared" si="19"/>
        <v>0</v>
      </c>
      <c r="Y38" s="1"/>
      <c r="Z38" s="1">
        <f t="shared" si="24"/>
        <v>0</v>
      </c>
      <c r="AA38" s="1">
        <f t="shared" ref="AA38:AA70" si="36">IF(H38&gt;0,130,0)</f>
        <v>130</v>
      </c>
      <c r="AB38" s="1"/>
      <c r="AC38">
        <f t="shared" si="12"/>
        <v>-130</v>
      </c>
      <c r="AD38" s="1"/>
      <c r="AE38" s="1">
        <f>IF(H38&gt;0,30*F38,0)</f>
        <v>0</v>
      </c>
      <c r="AF38" s="1">
        <f t="shared" si="26"/>
        <v>0</v>
      </c>
      <c r="AG38" s="1">
        <f t="shared" si="27"/>
        <v>-130</v>
      </c>
      <c r="AI38">
        <f t="shared" si="28"/>
        <v>0</v>
      </c>
      <c r="AJ38">
        <f t="shared" si="29"/>
        <v>0</v>
      </c>
      <c r="AK38">
        <f t="shared" si="30"/>
        <v>0</v>
      </c>
      <c r="AL38">
        <f t="shared" si="31"/>
        <v>0</v>
      </c>
      <c r="AN38">
        <f t="shared" si="32"/>
        <v>0</v>
      </c>
      <c r="AO38">
        <f t="shared" si="33"/>
        <v>0</v>
      </c>
      <c r="AP38">
        <f t="shared" si="34"/>
        <v>0</v>
      </c>
      <c r="AQ38">
        <f t="shared" si="35"/>
        <v>0</v>
      </c>
    </row>
    <row r="39" spans="1:44" x14ac:dyDescent="0.3">
      <c r="B39" s="17" t="s">
        <v>85</v>
      </c>
      <c r="C39" t="s">
        <v>259</v>
      </c>
      <c r="D39" s="16" t="s">
        <v>30</v>
      </c>
      <c r="E39">
        <f t="shared" si="9"/>
        <v>0</v>
      </c>
      <c r="F39">
        <f t="shared" si="21"/>
        <v>1</v>
      </c>
      <c r="G39" t="s">
        <v>231</v>
      </c>
      <c r="H39" s="16">
        <v>7</v>
      </c>
      <c r="I39" s="16"/>
      <c r="J39" s="16" t="s">
        <v>35</v>
      </c>
      <c r="K39" t="s">
        <v>55</v>
      </c>
      <c r="L39" s="5">
        <v>0</v>
      </c>
      <c r="M39" s="4" t="s">
        <v>36</v>
      </c>
      <c r="O39" s="50">
        <v>1580</v>
      </c>
      <c r="P39" s="1">
        <f>O39*0.4</f>
        <v>632</v>
      </c>
      <c r="Q39">
        <v>1548</v>
      </c>
      <c r="R39" s="6" t="s">
        <v>86</v>
      </c>
      <c r="S39" s="72">
        <v>1</v>
      </c>
      <c r="T39" s="72">
        <f t="shared" si="22"/>
        <v>85.02</v>
      </c>
      <c r="U39" s="7" t="str">
        <f t="shared" si="23"/>
        <v>PAYPAL</v>
      </c>
      <c r="V39" s="68">
        <v>2</v>
      </c>
      <c r="W39" t="s">
        <v>260</v>
      </c>
      <c r="X39" s="1">
        <f t="shared" si="19"/>
        <v>2180</v>
      </c>
      <c r="Y39" s="1"/>
      <c r="Z39" s="1">
        <f t="shared" si="24"/>
        <v>0</v>
      </c>
      <c r="AA39" s="1">
        <f t="shared" si="36"/>
        <v>130</v>
      </c>
      <c r="AB39" s="1"/>
      <c r="AC39">
        <f>O39-AA39</f>
        <v>1450</v>
      </c>
      <c r="AD39" s="1"/>
      <c r="AE39" s="1">
        <f t="shared" si="25"/>
        <v>30</v>
      </c>
      <c r="AF39" s="1">
        <f t="shared" si="26"/>
        <v>1420</v>
      </c>
      <c r="AG39" s="1">
        <f t="shared" si="27"/>
        <v>1420</v>
      </c>
      <c r="AI39">
        <f t="shared" si="28"/>
        <v>1580</v>
      </c>
      <c r="AJ39">
        <f t="shared" si="29"/>
        <v>0</v>
      </c>
      <c r="AK39">
        <f t="shared" si="30"/>
        <v>0</v>
      </c>
      <c r="AL39">
        <f t="shared" si="31"/>
        <v>0</v>
      </c>
      <c r="AN39">
        <f t="shared" si="32"/>
        <v>1580</v>
      </c>
      <c r="AO39">
        <f t="shared" si="33"/>
        <v>0</v>
      </c>
      <c r="AP39">
        <f t="shared" si="34"/>
        <v>0</v>
      </c>
      <c r="AQ39">
        <f t="shared" si="35"/>
        <v>0</v>
      </c>
    </row>
    <row r="40" spans="1:44" x14ac:dyDescent="0.3">
      <c r="B40" s="8" t="s">
        <v>175</v>
      </c>
      <c r="C40" t="s">
        <v>176</v>
      </c>
      <c r="D40" s="16" t="s">
        <v>30</v>
      </c>
      <c r="E40">
        <f t="shared" si="9"/>
        <v>0</v>
      </c>
      <c r="F40">
        <f t="shared" si="21"/>
        <v>1</v>
      </c>
      <c r="G40" t="s">
        <v>177</v>
      </c>
      <c r="H40" s="16">
        <v>6</v>
      </c>
      <c r="I40" s="16"/>
      <c r="J40" s="16" t="s">
        <v>108</v>
      </c>
      <c r="K40" t="s">
        <v>55</v>
      </c>
      <c r="L40" s="5">
        <v>0</v>
      </c>
      <c r="M40" s="4" t="s">
        <v>36</v>
      </c>
      <c r="O40" s="50">
        <v>1000</v>
      </c>
      <c r="P40" s="1">
        <f>O40*0.4</f>
        <v>400</v>
      </c>
      <c r="Q40">
        <f>(O40+500)-P40</f>
        <v>1100</v>
      </c>
      <c r="R40" s="6" t="s">
        <v>156</v>
      </c>
      <c r="S40" s="72">
        <v>1</v>
      </c>
      <c r="T40" s="72">
        <f t="shared" si="22"/>
        <v>47</v>
      </c>
      <c r="U40" s="7" t="str">
        <f t="shared" si="23"/>
        <v>BANK</v>
      </c>
      <c r="V40" s="68">
        <v>1</v>
      </c>
      <c r="W40" s="5" t="s">
        <v>25</v>
      </c>
      <c r="X40" s="1">
        <f>Q40+P40</f>
        <v>1500</v>
      </c>
      <c r="Y40" s="1"/>
      <c r="Z40" s="1">
        <f t="shared" si="24"/>
        <v>0</v>
      </c>
      <c r="AA40" s="1">
        <f t="shared" si="36"/>
        <v>130</v>
      </c>
      <c r="AB40" s="1"/>
      <c r="AC40">
        <f>O40-AA40</f>
        <v>870</v>
      </c>
      <c r="AD40" s="1"/>
      <c r="AE40" s="1">
        <f>IF(H40&gt;0,30*F40,0)</f>
        <v>30</v>
      </c>
      <c r="AF40" s="1">
        <f t="shared" si="26"/>
        <v>840</v>
      </c>
      <c r="AG40" s="1">
        <f t="shared" si="27"/>
        <v>840</v>
      </c>
      <c r="AI40">
        <f t="shared" si="28"/>
        <v>1000</v>
      </c>
      <c r="AJ40">
        <f t="shared" si="29"/>
        <v>0</v>
      </c>
      <c r="AK40">
        <f t="shared" si="30"/>
        <v>0</v>
      </c>
      <c r="AL40">
        <f t="shared" si="31"/>
        <v>0</v>
      </c>
      <c r="AN40">
        <f t="shared" si="32"/>
        <v>1000</v>
      </c>
      <c r="AO40">
        <f t="shared" si="33"/>
        <v>0</v>
      </c>
      <c r="AP40">
        <f t="shared" si="34"/>
        <v>0</v>
      </c>
      <c r="AQ40">
        <f t="shared" si="35"/>
        <v>0</v>
      </c>
    </row>
    <row r="41" spans="1:44" x14ac:dyDescent="0.3">
      <c r="B41" s="104" t="s">
        <v>84</v>
      </c>
      <c r="C41" s="8" t="s">
        <v>41</v>
      </c>
      <c r="D41" s="16" t="s">
        <v>42</v>
      </c>
      <c r="E41">
        <f t="shared" si="9"/>
        <v>3</v>
      </c>
      <c r="F41">
        <f t="shared" si="21"/>
        <v>0</v>
      </c>
      <c r="G41" t="s">
        <v>232</v>
      </c>
      <c r="H41" s="16">
        <v>3</v>
      </c>
      <c r="I41" s="16"/>
      <c r="J41" s="16" t="s">
        <v>93</v>
      </c>
      <c r="K41" t="s">
        <v>55</v>
      </c>
      <c r="L41" s="5">
        <v>0</v>
      </c>
      <c r="M41" s="4" t="s">
        <v>36</v>
      </c>
      <c r="O41" s="50">
        <v>0</v>
      </c>
      <c r="P41" s="1">
        <v>0</v>
      </c>
      <c r="Q41">
        <v>0</v>
      </c>
      <c r="R41" s="6"/>
      <c r="S41" s="72">
        <v>1</v>
      </c>
      <c r="T41" s="72">
        <f t="shared" si="22"/>
        <v>0</v>
      </c>
      <c r="U41" s="7" t="str">
        <f t="shared" si="23"/>
        <v>NONE</v>
      </c>
      <c r="V41" s="68"/>
      <c r="W41" s="5" t="s">
        <v>42</v>
      </c>
      <c r="X41" s="1">
        <f t="shared" si="19"/>
        <v>0</v>
      </c>
      <c r="Y41" s="1"/>
      <c r="Z41" s="1">
        <f t="shared" si="24"/>
        <v>0</v>
      </c>
      <c r="AA41" s="1">
        <f t="shared" si="36"/>
        <v>130</v>
      </c>
      <c r="AB41" s="1"/>
      <c r="AC41">
        <f t="shared" si="12"/>
        <v>-130</v>
      </c>
      <c r="AD41" s="1"/>
      <c r="AE41" s="1">
        <f t="shared" si="25"/>
        <v>0</v>
      </c>
      <c r="AF41" s="1">
        <f t="shared" si="26"/>
        <v>0</v>
      </c>
      <c r="AG41" s="1">
        <f t="shared" si="27"/>
        <v>-130</v>
      </c>
      <c r="AI41">
        <f>IF(S41=1,O41,0)</f>
        <v>0</v>
      </c>
      <c r="AJ41">
        <f>IF(S41=2,O41,0)</f>
        <v>0</v>
      </c>
      <c r="AK41">
        <f>IF(S41=3,O41,0)</f>
        <v>0</v>
      </c>
      <c r="AL41">
        <f>IF(S41=4,O41,0)</f>
        <v>0</v>
      </c>
      <c r="AN41">
        <f t="shared" si="32"/>
        <v>0</v>
      </c>
      <c r="AO41">
        <f t="shared" si="33"/>
        <v>0</v>
      </c>
      <c r="AP41">
        <f t="shared" si="34"/>
        <v>0</v>
      </c>
      <c r="AQ41">
        <f t="shared" si="35"/>
        <v>0</v>
      </c>
    </row>
    <row r="42" spans="1:44" x14ac:dyDescent="0.3">
      <c r="B42" s="16" t="s">
        <v>68</v>
      </c>
      <c r="C42" t="s">
        <v>69</v>
      </c>
      <c r="D42" s="16" t="s">
        <v>30</v>
      </c>
      <c r="E42">
        <f t="shared" si="9"/>
        <v>0</v>
      </c>
      <c r="F42">
        <f t="shared" si="21"/>
        <v>1</v>
      </c>
      <c r="G42" t="s">
        <v>233</v>
      </c>
      <c r="H42" s="16">
        <v>14</v>
      </c>
      <c r="I42" s="16"/>
      <c r="J42" s="16" t="s">
        <v>35</v>
      </c>
      <c r="K42" t="s">
        <v>55</v>
      </c>
      <c r="L42" s="5">
        <v>0</v>
      </c>
      <c r="M42" s="4" t="s">
        <v>36</v>
      </c>
      <c r="O42" s="50">
        <f>3695-500</f>
        <v>3195</v>
      </c>
      <c r="P42" s="1">
        <f>O42*0.4</f>
        <v>1278</v>
      </c>
      <c r="Q42">
        <f>(O42+500)-P42</f>
        <v>2417</v>
      </c>
      <c r="R42" s="6" t="s">
        <v>70</v>
      </c>
      <c r="S42" s="72">
        <v>1</v>
      </c>
      <c r="T42" s="72">
        <f t="shared" si="22"/>
        <v>0</v>
      </c>
      <c r="U42" s="7" t="str">
        <f t="shared" si="23"/>
        <v>NONE</v>
      </c>
      <c r="V42" s="68"/>
      <c r="W42" s="5" t="s">
        <v>260</v>
      </c>
      <c r="X42" s="1">
        <f t="shared" si="19"/>
        <v>3695</v>
      </c>
      <c r="Y42" s="1"/>
      <c r="Z42" s="1">
        <f t="shared" si="24"/>
        <v>0</v>
      </c>
      <c r="AA42" s="1">
        <f t="shared" si="36"/>
        <v>130</v>
      </c>
      <c r="AB42" s="1"/>
      <c r="AC42">
        <f t="shared" si="12"/>
        <v>3065</v>
      </c>
      <c r="AD42" s="1"/>
      <c r="AE42" s="1">
        <f t="shared" si="25"/>
        <v>30</v>
      </c>
      <c r="AF42" s="1">
        <f t="shared" si="26"/>
        <v>3035</v>
      </c>
      <c r="AG42" s="1">
        <f t="shared" si="27"/>
        <v>3035</v>
      </c>
      <c r="AI42">
        <f t="shared" si="28"/>
        <v>3195</v>
      </c>
      <c r="AJ42">
        <f t="shared" si="29"/>
        <v>0</v>
      </c>
      <c r="AK42">
        <f t="shared" si="30"/>
        <v>0</v>
      </c>
      <c r="AL42">
        <f t="shared" si="31"/>
        <v>0</v>
      </c>
      <c r="AN42">
        <f t="shared" si="32"/>
        <v>3195</v>
      </c>
      <c r="AO42">
        <f t="shared" si="33"/>
        <v>0</v>
      </c>
      <c r="AP42">
        <f t="shared" si="34"/>
        <v>0</v>
      </c>
      <c r="AQ42">
        <f t="shared" si="35"/>
        <v>0</v>
      </c>
    </row>
    <row r="43" spans="1:44" x14ac:dyDescent="0.3">
      <c r="B43" s="104" t="s">
        <v>82</v>
      </c>
      <c r="C43" s="8" t="s">
        <v>41</v>
      </c>
      <c r="D43" s="16" t="s">
        <v>42</v>
      </c>
      <c r="E43">
        <f t="shared" si="9"/>
        <v>7</v>
      </c>
      <c r="F43">
        <f t="shared" si="21"/>
        <v>0</v>
      </c>
      <c r="G43" t="s">
        <v>234</v>
      </c>
      <c r="H43" s="16">
        <v>7</v>
      </c>
      <c r="I43" s="16"/>
      <c r="J43" s="16" t="s">
        <v>83</v>
      </c>
      <c r="K43" t="s">
        <v>55</v>
      </c>
      <c r="L43" s="5">
        <v>3</v>
      </c>
      <c r="M43" s="4" t="s">
        <v>36</v>
      </c>
      <c r="O43" s="50">
        <v>0</v>
      </c>
      <c r="P43" s="1">
        <v>0</v>
      </c>
      <c r="Q43">
        <v>0</v>
      </c>
      <c r="R43" s="6"/>
      <c r="S43" s="72">
        <v>2</v>
      </c>
      <c r="T43" s="72">
        <f t="shared" si="22"/>
        <v>0</v>
      </c>
      <c r="U43" s="7" t="str">
        <f t="shared" si="23"/>
        <v>NONE</v>
      </c>
      <c r="V43" s="68"/>
      <c r="W43" s="5" t="s">
        <v>42</v>
      </c>
      <c r="X43" s="1">
        <f t="shared" si="19"/>
        <v>0</v>
      </c>
      <c r="Y43" s="1"/>
      <c r="Z43" s="1">
        <f t="shared" si="24"/>
        <v>0</v>
      </c>
      <c r="AA43" s="1">
        <f t="shared" si="36"/>
        <v>130</v>
      </c>
      <c r="AB43" s="1"/>
      <c r="AC43">
        <f t="shared" si="12"/>
        <v>-130</v>
      </c>
      <c r="AD43" s="1"/>
      <c r="AE43" s="1">
        <f t="shared" si="25"/>
        <v>0</v>
      </c>
      <c r="AF43" s="1">
        <f t="shared" si="26"/>
        <v>0</v>
      </c>
      <c r="AG43" s="1">
        <f t="shared" si="27"/>
        <v>-130</v>
      </c>
      <c r="AI43">
        <f t="shared" si="28"/>
        <v>0</v>
      </c>
      <c r="AJ43">
        <f t="shared" si="29"/>
        <v>0</v>
      </c>
      <c r="AK43">
        <f t="shared" si="30"/>
        <v>0</v>
      </c>
      <c r="AL43">
        <f t="shared" si="31"/>
        <v>0</v>
      </c>
      <c r="AN43">
        <f t="shared" si="32"/>
        <v>0</v>
      </c>
      <c r="AO43">
        <f t="shared" si="33"/>
        <v>0</v>
      </c>
      <c r="AP43">
        <f t="shared" si="34"/>
        <v>0</v>
      </c>
      <c r="AQ43">
        <f t="shared" si="35"/>
        <v>0</v>
      </c>
    </row>
    <row r="44" spans="1:44" x14ac:dyDescent="0.3">
      <c r="B44" s="8" t="s">
        <v>51</v>
      </c>
      <c r="C44" t="s">
        <v>50</v>
      </c>
      <c r="D44" s="16" t="s">
        <v>30</v>
      </c>
      <c r="E44">
        <f t="shared" si="9"/>
        <v>0</v>
      </c>
      <c r="F44">
        <f t="shared" si="21"/>
        <v>1</v>
      </c>
      <c r="G44" t="s">
        <v>235</v>
      </c>
      <c r="H44" s="16">
        <v>7</v>
      </c>
      <c r="I44" s="16"/>
      <c r="J44" s="16" t="s">
        <v>35</v>
      </c>
      <c r="K44" t="s">
        <v>57</v>
      </c>
      <c r="L44" s="5">
        <v>0</v>
      </c>
      <c r="M44" s="4" t="s">
        <v>36</v>
      </c>
      <c r="O44" s="50">
        <f>1600+125+67.28</f>
        <v>1792.28</v>
      </c>
      <c r="P44" s="1">
        <f>O44*0.4</f>
        <v>716.91200000000003</v>
      </c>
      <c r="Q44">
        <f>(O44+500)-P44</f>
        <v>1575.3679999999997</v>
      </c>
      <c r="R44" s="57" t="s">
        <v>43</v>
      </c>
      <c r="S44" s="72">
        <v>2</v>
      </c>
      <c r="T44" s="72">
        <f t="shared" si="22"/>
        <v>89.39891999999999</v>
      </c>
      <c r="U44" s="7" t="str">
        <f t="shared" si="23"/>
        <v>PAYPAL</v>
      </c>
      <c r="V44" s="68">
        <v>2</v>
      </c>
      <c r="W44" s="5" t="s">
        <v>260</v>
      </c>
      <c r="X44" s="1">
        <f t="shared" si="19"/>
        <v>2292.2799999999997</v>
      </c>
      <c r="Y44" s="1"/>
      <c r="Z44" s="1">
        <f t="shared" si="24"/>
        <v>0</v>
      </c>
      <c r="AA44" s="1">
        <f t="shared" si="36"/>
        <v>130</v>
      </c>
      <c r="AB44" s="1"/>
      <c r="AC44">
        <f>O44-AA44</f>
        <v>1662.28</v>
      </c>
      <c r="AD44" s="1"/>
      <c r="AE44" s="1">
        <f t="shared" si="25"/>
        <v>30</v>
      </c>
      <c r="AF44" s="1">
        <f t="shared" si="26"/>
        <v>1632.28</v>
      </c>
      <c r="AG44" s="1">
        <f t="shared" si="27"/>
        <v>1632.28</v>
      </c>
      <c r="AI44">
        <f t="shared" si="28"/>
        <v>0</v>
      </c>
      <c r="AJ44">
        <f t="shared" si="29"/>
        <v>1792.28</v>
      </c>
      <c r="AK44">
        <f t="shared" si="30"/>
        <v>0</v>
      </c>
      <c r="AL44">
        <f t="shared" si="31"/>
        <v>0</v>
      </c>
      <c r="AN44">
        <f t="shared" si="32"/>
        <v>0</v>
      </c>
      <c r="AO44">
        <f t="shared" si="33"/>
        <v>1792.28</v>
      </c>
      <c r="AP44">
        <f t="shared" si="34"/>
        <v>0</v>
      </c>
      <c r="AQ44">
        <f t="shared" si="35"/>
        <v>0</v>
      </c>
    </row>
    <row r="45" spans="1:44" ht="16.2" x14ac:dyDescent="0.3">
      <c r="B45" s="17" t="s">
        <v>99</v>
      </c>
      <c r="C45" t="s">
        <v>97</v>
      </c>
      <c r="D45" s="16" t="s">
        <v>89</v>
      </c>
      <c r="E45">
        <f t="shared" si="9"/>
        <v>0</v>
      </c>
      <c r="F45">
        <f t="shared" si="21"/>
        <v>1</v>
      </c>
      <c r="G45" t="s">
        <v>236</v>
      </c>
      <c r="H45" s="16">
        <v>7</v>
      </c>
      <c r="I45" s="16"/>
      <c r="J45" s="16" t="s">
        <v>98</v>
      </c>
      <c r="K45" t="s">
        <v>55</v>
      </c>
      <c r="L45" s="5">
        <v>0</v>
      </c>
      <c r="M45" s="15" t="s">
        <v>107</v>
      </c>
      <c r="O45" s="51">
        <v>1847</v>
      </c>
      <c r="P45">
        <f>(O45+500)*0.4</f>
        <v>938.80000000000007</v>
      </c>
      <c r="Q45">
        <f>(O45+500)-P45</f>
        <v>1408.1999999999998</v>
      </c>
      <c r="R45" s="58" t="s">
        <v>106</v>
      </c>
      <c r="S45" s="72">
        <v>2</v>
      </c>
      <c r="T45" s="72">
        <f t="shared" si="22"/>
        <v>91.533000000000001</v>
      </c>
      <c r="U45" s="7" t="str">
        <f t="shared" si="23"/>
        <v>PAYPAL</v>
      </c>
      <c r="V45" s="68">
        <v>2</v>
      </c>
      <c r="W45" s="90" t="s">
        <v>279</v>
      </c>
      <c r="X45" s="1">
        <f t="shared" si="19"/>
        <v>2347</v>
      </c>
      <c r="Y45" s="1"/>
      <c r="Z45" s="1">
        <f t="shared" si="24"/>
        <v>0</v>
      </c>
      <c r="AA45" s="1">
        <f t="shared" si="36"/>
        <v>130</v>
      </c>
      <c r="AB45" s="1"/>
      <c r="AC45">
        <f t="shared" si="12"/>
        <v>1717</v>
      </c>
      <c r="AE45" s="1">
        <f t="shared" si="25"/>
        <v>30</v>
      </c>
      <c r="AF45" s="1">
        <f t="shared" si="26"/>
        <v>1687</v>
      </c>
      <c r="AG45" s="1">
        <f t="shared" si="27"/>
        <v>1687</v>
      </c>
      <c r="AI45">
        <f t="shared" si="28"/>
        <v>0</v>
      </c>
      <c r="AJ45">
        <f t="shared" si="29"/>
        <v>1847</v>
      </c>
      <c r="AK45">
        <f t="shared" si="30"/>
        <v>0</v>
      </c>
      <c r="AL45">
        <f t="shared" si="31"/>
        <v>0</v>
      </c>
      <c r="AN45">
        <f t="shared" si="32"/>
        <v>0</v>
      </c>
      <c r="AO45">
        <f t="shared" si="33"/>
        <v>1847</v>
      </c>
      <c r="AP45">
        <f t="shared" si="34"/>
        <v>0</v>
      </c>
      <c r="AQ45">
        <f t="shared" si="35"/>
        <v>0</v>
      </c>
    </row>
    <row r="46" spans="1:44" ht="16.2" x14ac:dyDescent="0.3">
      <c r="B46" t="s">
        <v>157</v>
      </c>
      <c r="C46" t="s">
        <v>158</v>
      </c>
      <c r="D46" s="16" t="s">
        <v>30</v>
      </c>
      <c r="E46">
        <f t="shared" si="9"/>
        <v>0</v>
      </c>
      <c r="F46">
        <f t="shared" si="21"/>
        <v>1</v>
      </c>
      <c r="G46" t="s">
        <v>237</v>
      </c>
      <c r="H46" s="16">
        <v>20</v>
      </c>
      <c r="I46" s="16"/>
      <c r="J46" t="s">
        <v>257</v>
      </c>
      <c r="K46" t="s">
        <v>55</v>
      </c>
      <c r="L46" s="5">
        <v>0</v>
      </c>
      <c r="M46" s="15" t="s">
        <v>228</v>
      </c>
      <c r="O46" s="50">
        <f>3897+47</f>
        <v>3944</v>
      </c>
      <c r="P46">
        <v>1778</v>
      </c>
      <c r="Q46">
        <f>IF(O46&gt;0,((O46+500)-P46),0)</f>
        <v>2666</v>
      </c>
      <c r="R46" s="6" t="s">
        <v>164</v>
      </c>
      <c r="S46" s="72">
        <v>2</v>
      </c>
      <c r="T46" s="72">
        <f t="shared" si="22"/>
        <v>47</v>
      </c>
      <c r="U46" s="7" t="str">
        <f t="shared" si="23"/>
        <v>BANK</v>
      </c>
      <c r="V46" s="68">
        <v>1</v>
      </c>
      <c r="W46" s="90" t="s">
        <v>162</v>
      </c>
      <c r="X46" s="1">
        <f t="shared" si="19"/>
        <v>4444</v>
      </c>
      <c r="Y46" s="1"/>
      <c r="Z46" s="1">
        <f t="shared" si="24"/>
        <v>0</v>
      </c>
      <c r="AA46" s="1">
        <f t="shared" si="36"/>
        <v>130</v>
      </c>
      <c r="AB46" s="1"/>
      <c r="AC46">
        <f t="shared" si="12"/>
        <v>3814</v>
      </c>
      <c r="AD46" s="1"/>
      <c r="AE46" s="1">
        <f t="shared" si="25"/>
        <v>30</v>
      </c>
      <c r="AF46" s="1">
        <f t="shared" si="26"/>
        <v>3784</v>
      </c>
      <c r="AG46" s="1">
        <f t="shared" si="27"/>
        <v>3784</v>
      </c>
      <c r="AI46">
        <f t="shared" si="28"/>
        <v>0</v>
      </c>
      <c r="AJ46">
        <f t="shared" si="29"/>
        <v>3944</v>
      </c>
      <c r="AK46">
        <f t="shared" si="30"/>
        <v>0</v>
      </c>
      <c r="AL46">
        <f t="shared" si="31"/>
        <v>0</v>
      </c>
      <c r="AN46">
        <f t="shared" si="32"/>
        <v>0</v>
      </c>
      <c r="AO46">
        <f t="shared" si="33"/>
        <v>3944</v>
      </c>
      <c r="AP46">
        <f t="shared" si="34"/>
        <v>0</v>
      </c>
      <c r="AQ46">
        <f t="shared" si="35"/>
        <v>0</v>
      </c>
    </row>
    <row r="47" spans="1:44" x14ac:dyDescent="0.3">
      <c r="B47" s="16"/>
      <c r="C47" s="8"/>
      <c r="D47" s="16"/>
      <c r="E47">
        <f>IF(D47=$B$12,H47,0)</f>
        <v>0</v>
      </c>
      <c r="F47">
        <f>IF(E47&gt;0,0,1)</f>
        <v>1</v>
      </c>
      <c r="G47" s="16"/>
      <c r="H47" s="16">
        <v>0</v>
      </c>
      <c r="I47" s="16"/>
      <c r="J47" s="16"/>
      <c r="M47" s="4"/>
      <c r="O47" s="50">
        <v>0</v>
      </c>
      <c r="P47" s="58">
        <f>ROUND((O47*0.4),0)</f>
        <v>0</v>
      </c>
      <c r="Q47" s="84">
        <f>IF(O47&gt;0,((O47+500)-P47)+T47,0)</f>
        <v>0</v>
      </c>
      <c r="R47" s="57"/>
      <c r="S47" s="72">
        <v>2</v>
      </c>
      <c r="T47" s="89">
        <f>IF(U47=$AD$2,47,IF(U47=$AD$1,ROUND(((O47+500)*0.039),0),IF(U47=$AD$3,0)))</f>
        <v>0</v>
      </c>
      <c r="U47" s="87" t="str">
        <f t="shared" si="23"/>
        <v>NONE</v>
      </c>
      <c r="V47" s="97"/>
      <c r="W47" s="90"/>
      <c r="X47" s="89">
        <f>Q47+P47</f>
        <v>0</v>
      </c>
      <c r="Y47" s="72"/>
      <c r="Z47" s="1">
        <f t="shared" si="24"/>
        <v>0</v>
      </c>
      <c r="AA47" s="1">
        <f t="shared" si="36"/>
        <v>0</v>
      </c>
      <c r="AB47" s="1"/>
      <c r="AC47" s="76">
        <f>(O47+T47)-AA47</f>
        <v>0</v>
      </c>
      <c r="AD47" s="1"/>
      <c r="AE47" s="1">
        <f>IF(H47&gt;0,30*F47,0)</f>
        <v>0</v>
      </c>
      <c r="AF47" s="1">
        <f t="shared" si="26"/>
        <v>0</v>
      </c>
      <c r="AG47" s="1">
        <f t="shared" si="27"/>
        <v>0</v>
      </c>
      <c r="AI47">
        <f t="shared" si="28"/>
        <v>0</v>
      </c>
      <c r="AJ47">
        <f t="shared" si="29"/>
        <v>0</v>
      </c>
      <c r="AK47">
        <f t="shared" si="30"/>
        <v>0</v>
      </c>
      <c r="AL47">
        <f t="shared" si="31"/>
        <v>0</v>
      </c>
      <c r="AN47">
        <f t="shared" si="32"/>
        <v>0</v>
      </c>
      <c r="AO47">
        <f t="shared" si="33"/>
        <v>0</v>
      </c>
      <c r="AP47">
        <f t="shared" si="34"/>
        <v>0</v>
      </c>
      <c r="AQ47">
        <f t="shared" si="35"/>
        <v>0</v>
      </c>
    </row>
    <row r="48" spans="1:44" x14ac:dyDescent="0.3">
      <c r="B48" t="s">
        <v>256</v>
      </c>
      <c r="C48" t="s">
        <v>65</v>
      </c>
      <c r="D48" s="16" t="s">
        <v>30</v>
      </c>
      <c r="E48">
        <f t="shared" si="9"/>
        <v>0</v>
      </c>
      <c r="F48">
        <f t="shared" si="21"/>
        <v>1</v>
      </c>
      <c r="G48" t="s">
        <v>238</v>
      </c>
      <c r="H48" s="16">
        <v>12</v>
      </c>
      <c r="I48" s="16"/>
      <c r="J48" s="16" t="s">
        <v>35</v>
      </c>
      <c r="K48" t="s">
        <v>55</v>
      </c>
      <c r="L48" s="5">
        <v>0</v>
      </c>
      <c r="M48" s="4" t="s">
        <v>36</v>
      </c>
      <c r="O48" s="50">
        <f>2832-500</f>
        <v>2332</v>
      </c>
      <c r="P48" s="1">
        <v>933</v>
      </c>
      <c r="Q48">
        <f>(O48+500)-P48</f>
        <v>1899</v>
      </c>
      <c r="R48" s="57" t="s">
        <v>66</v>
      </c>
      <c r="S48" s="72">
        <v>2</v>
      </c>
      <c r="T48" s="72">
        <f t="shared" si="22"/>
        <v>110.44799999999999</v>
      </c>
      <c r="U48" s="7" t="str">
        <f t="shared" si="23"/>
        <v>PAYPAL</v>
      </c>
      <c r="V48" s="68">
        <v>2</v>
      </c>
      <c r="W48" s="5" t="s">
        <v>260</v>
      </c>
      <c r="X48" s="1">
        <f t="shared" si="19"/>
        <v>2832</v>
      </c>
      <c r="Y48" s="1"/>
      <c r="Z48" s="1">
        <f t="shared" si="24"/>
        <v>0</v>
      </c>
      <c r="AA48" s="1">
        <f t="shared" si="36"/>
        <v>130</v>
      </c>
      <c r="AB48" s="1"/>
      <c r="AC48">
        <f t="shared" si="12"/>
        <v>2202</v>
      </c>
      <c r="AD48" s="1"/>
      <c r="AE48" s="1">
        <f t="shared" si="25"/>
        <v>30</v>
      </c>
      <c r="AF48" s="1">
        <f t="shared" si="26"/>
        <v>2172</v>
      </c>
      <c r="AG48" s="1">
        <f t="shared" si="27"/>
        <v>2172</v>
      </c>
      <c r="AI48">
        <f t="shared" si="28"/>
        <v>0</v>
      </c>
      <c r="AJ48">
        <f t="shared" si="29"/>
        <v>2332</v>
      </c>
      <c r="AK48">
        <f t="shared" si="30"/>
        <v>0</v>
      </c>
      <c r="AL48">
        <f t="shared" si="31"/>
        <v>0</v>
      </c>
      <c r="AN48">
        <f t="shared" si="32"/>
        <v>0</v>
      </c>
      <c r="AO48">
        <f t="shared" si="33"/>
        <v>2332</v>
      </c>
      <c r="AP48">
        <f t="shared" si="34"/>
        <v>0</v>
      </c>
      <c r="AQ48">
        <f t="shared" si="35"/>
        <v>0</v>
      </c>
    </row>
    <row r="49" spans="2:43" x14ac:dyDescent="0.3">
      <c r="B49" t="s">
        <v>204</v>
      </c>
      <c r="C49" t="s">
        <v>205</v>
      </c>
      <c r="D49" s="16" t="s">
        <v>30</v>
      </c>
      <c r="E49">
        <f t="shared" si="9"/>
        <v>0</v>
      </c>
      <c r="F49">
        <f t="shared" si="21"/>
        <v>1</v>
      </c>
      <c r="G49" t="s">
        <v>206</v>
      </c>
      <c r="H49" s="16">
        <v>7</v>
      </c>
      <c r="I49" s="16"/>
      <c r="J49" s="16" t="s">
        <v>207</v>
      </c>
      <c r="K49" t="s">
        <v>55</v>
      </c>
      <c r="L49" s="5">
        <v>0</v>
      </c>
      <c r="M49" s="4" t="s">
        <v>36</v>
      </c>
      <c r="O49" s="50">
        <v>1317</v>
      </c>
      <c r="P49" s="1">
        <f>ROUND((O49*0.4),0)</f>
        <v>527</v>
      </c>
      <c r="Q49">
        <f>IF(O49&gt;0,((O49+500)-P49),0)</f>
        <v>1290</v>
      </c>
      <c r="R49" s="43" t="s">
        <v>208</v>
      </c>
      <c r="S49" s="72">
        <v>2</v>
      </c>
      <c r="T49" s="72">
        <f t="shared" si="22"/>
        <v>70.863</v>
      </c>
      <c r="U49" s="7" t="str">
        <f t="shared" si="23"/>
        <v>PAYPAL</v>
      </c>
      <c r="V49" s="68">
        <v>2</v>
      </c>
      <c r="W49" s="60" t="s">
        <v>260</v>
      </c>
      <c r="X49" s="1">
        <f>Q49+P49</f>
        <v>1817</v>
      </c>
      <c r="Y49" s="1"/>
      <c r="Z49" s="1">
        <f t="shared" si="24"/>
        <v>0</v>
      </c>
      <c r="AA49" s="1">
        <f t="shared" si="36"/>
        <v>130</v>
      </c>
      <c r="AB49" s="1"/>
      <c r="AC49">
        <f t="shared" si="12"/>
        <v>1187</v>
      </c>
      <c r="AD49" s="1"/>
      <c r="AE49" s="1">
        <f>IF(H49&gt;0,30*F49,0)</f>
        <v>30</v>
      </c>
      <c r="AF49" s="1">
        <f t="shared" si="26"/>
        <v>1157</v>
      </c>
      <c r="AG49" s="1">
        <f t="shared" si="27"/>
        <v>1157</v>
      </c>
      <c r="AI49">
        <f t="shared" si="28"/>
        <v>0</v>
      </c>
      <c r="AJ49">
        <f t="shared" si="29"/>
        <v>1317</v>
      </c>
      <c r="AK49">
        <f t="shared" si="30"/>
        <v>0</v>
      </c>
      <c r="AL49">
        <f t="shared" si="31"/>
        <v>0</v>
      </c>
      <c r="AN49">
        <f t="shared" si="32"/>
        <v>0</v>
      </c>
      <c r="AO49">
        <f t="shared" si="33"/>
        <v>1317</v>
      </c>
      <c r="AP49">
        <f t="shared" si="34"/>
        <v>0</v>
      </c>
      <c r="AQ49">
        <f t="shared" si="35"/>
        <v>0</v>
      </c>
    </row>
    <row r="50" spans="2:43" x14ac:dyDescent="0.3">
      <c r="B50" s="8" t="s">
        <v>169</v>
      </c>
      <c r="C50" t="s">
        <v>168</v>
      </c>
      <c r="D50" s="16" t="s">
        <v>30</v>
      </c>
      <c r="E50">
        <f>IF(D50=$B$12,H50,0)</f>
        <v>0</v>
      </c>
      <c r="F50">
        <f>IF(E50&gt;0,0,1)</f>
        <v>1</v>
      </c>
      <c r="G50" s="16" t="s">
        <v>165</v>
      </c>
      <c r="H50" s="16">
        <v>14</v>
      </c>
      <c r="I50" s="16"/>
      <c r="J50" s="16" t="s">
        <v>166</v>
      </c>
      <c r="K50" t="s">
        <v>55</v>
      </c>
      <c r="L50" s="5">
        <v>0</v>
      </c>
      <c r="M50" s="4" t="s">
        <v>36</v>
      </c>
      <c r="O50" s="50">
        <f>3015-500</f>
        <v>2515</v>
      </c>
      <c r="P50" s="1">
        <f>ROUND((O50*0.4),0)</f>
        <v>1006</v>
      </c>
      <c r="Q50">
        <f>IF(O50&gt;0,((O50+500)-P50),0)</f>
        <v>2009</v>
      </c>
      <c r="R50" s="57" t="s">
        <v>167</v>
      </c>
      <c r="S50" s="72">
        <v>2</v>
      </c>
      <c r="T50" s="72">
        <f t="shared" si="22"/>
        <v>117.58499999999999</v>
      </c>
      <c r="U50" s="7" t="str">
        <f t="shared" si="23"/>
        <v>PAYPAL</v>
      </c>
      <c r="V50" s="68">
        <v>2</v>
      </c>
      <c r="W50" s="5" t="s">
        <v>25</v>
      </c>
      <c r="X50" s="1">
        <f t="shared" si="19"/>
        <v>3015</v>
      </c>
      <c r="Y50" s="1"/>
      <c r="Z50" s="1">
        <f t="shared" si="24"/>
        <v>0</v>
      </c>
      <c r="AA50" s="1">
        <f t="shared" si="36"/>
        <v>130</v>
      </c>
      <c r="AB50" s="1"/>
      <c r="AC50">
        <f t="shared" si="12"/>
        <v>2385</v>
      </c>
      <c r="AD50" s="1"/>
      <c r="AE50" s="1">
        <f>IF(H50&gt;0,30*F50,0)</f>
        <v>30</v>
      </c>
      <c r="AF50" s="1">
        <f t="shared" si="26"/>
        <v>2355</v>
      </c>
      <c r="AG50" s="1">
        <f t="shared" si="27"/>
        <v>2355</v>
      </c>
      <c r="AI50">
        <f t="shared" si="28"/>
        <v>0</v>
      </c>
      <c r="AJ50">
        <f t="shared" si="29"/>
        <v>2515</v>
      </c>
      <c r="AK50">
        <f t="shared" si="30"/>
        <v>0</v>
      </c>
      <c r="AL50">
        <f t="shared" si="31"/>
        <v>0</v>
      </c>
      <c r="AN50">
        <f t="shared" si="32"/>
        <v>0</v>
      </c>
      <c r="AO50">
        <f t="shared" si="33"/>
        <v>2515</v>
      </c>
      <c r="AP50">
        <f t="shared" si="34"/>
        <v>0</v>
      </c>
      <c r="AQ50">
        <f t="shared" si="35"/>
        <v>0</v>
      </c>
    </row>
    <row r="51" spans="2:43" x14ac:dyDescent="0.3">
      <c r="B51" s="17" t="s">
        <v>115</v>
      </c>
      <c r="C51" t="s">
        <v>114</v>
      </c>
      <c r="D51" t="s">
        <v>89</v>
      </c>
      <c r="E51">
        <f t="shared" si="9"/>
        <v>0</v>
      </c>
      <c r="F51">
        <f t="shared" si="21"/>
        <v>1</v>
      </c>
      <c r="G51" t="s">
        <v>239</v>
      </c>
      <c r="H51" s="16">
        <v>7</v>
      </c>
      <c r="I51" s="16"/>
      <c r="J51" s="16" t="s">
        <v>116</v>
      </c>
      <c r="K51" s="16" t="s">
        <v>55</v>
      </c>
      <c r="L51" s="5">
        <v>0</v>
      </c>
      <c r="M51" s="4" t="s">
        <v>36</v>
      </c>
      <c r="O51" s="50">
        <v>1775</v>
      </c>
      <c r="P51" s="1">
        <f>(1775+500)*0.4</f>
        <v>910</v>
      </c>
      <c r="Q51">
        <f>(O51+500)-P51</f>
        <v>1365</v>
      </c>
      <c r="R51" s="57" t="s">
        <v>117</v>
      </c>
      <c r="S51" s="89">
        <v>3</v>
      </c>
      <c r="T51" s="72">
        <f t="shared" si="22"/>
        <v>88.724999999999994</v>
      </c>
      <c r="U51" s="7" t="str">
        <f t="shared" si="23"/>
        <v>PAYPAL</v>
      </c>
      <c r="V51" s="68">
        <v>2</v>
      </c>
      <c r="W51" s="5" t="s">
        <v>25</v>
      </c>
      <c r="X51" s="1">
        <f t="shared" si="19"/>
        <v>2275</v>
      </c>
      <c r="Y51" s="1"/>
      <c r="Z51" s="1">
        <f t="shared" si="24"/>
        <v>0</v>
      </c>
      <c r="AA51" s="1">
        <f t="shared" si="36"/>
        <v>130</v>
      </c>
      <c r="AB51" s="1"/>
      <c r="AC51">
        <f>O51-AA51</f>
        <v>1645</v>
      </c>
      <c r="AD51" s="1"/>
      <c r="AE51" s="1">
        <f t="shared" si="25"/>
        <v>30</v>
      </c>
      <c r="AF51" s="1">
        <f t="shared" si="26"/>
        <v>1615</v>
      </c>
      <c r="AG51" s="1">
        <f t="shared" si="27"/>
        <v>1615</v>
      </c>
      <c r="AI51">
        <f t="shared" si="28"/>
        <v>0</v>
      </c>
      <c r="AJ51">
        <f t="shared" si="29"/>
        <v>0</v>
      </c>
      <c r="AK51">
        <f t="shared" si="30"/>
        <v>1775</v>
      </c>
      <c r="AL51">
        <f t="shared" si="31"/>
        <v>0</v>
      </c>
      <c r="AN51">
        <f t="shared" si="32"/>
        <v>0</v>
      </c>
      <c r="AO51">
        <f t="shared" si="33"/>
        <v>0</v>
      </c>
      <c r="AP51">
        <f t="shared" si="34"/>
        <v>1775</v>
      </c>
      <c r="AQ51">
        <f t="shared" si="35"/>
        <v>0</v>
      </c>
    </row>
    <row r="52" spans="2:43" x14ac:dyDescent="0.3">
      <c r="D52" s="84"/>
      <c r="E52" s="84">
        <f>IF(D52=$B$12,H52,0)</f>
        <v>0</v>
      </c>
      <c r="F52" s="84">
        <f>IF(E52&gt;0,0,1)</f>
        <v>1</v>
      </c>
      <c r="G52" s="84"/>
      <c r="H52" s="85"/>
      <c r="I52" s="85"/>
      <c r="J52" s="85"/>
      <c r="K52" s="85"/>
      <c r="L52" s="90"/>
      <c r="M52" s="4"/>
      <c r="N52" s="84"/>
      <c r="O52" s="50"/>
      <c r="P52" s="58">
        <f>ROUND((O52*0.4),0)</f>
        <v>0</v>
      </c>
      <c r="Q52" s="84">
        <f>IF(O52&gt;0,((O52+500)-P52)+T52,0)</f>
        <v>0</v>
      </c>
      <c r="R52" s="57"/>
      <c r="S52" s="89">
        <v>3</v>
      </c>
      <c r="T52" s="89">
        <f>IF(U52=$AD$2,47,IF(U52=$AD$1,ROUND(((O52+500)*0.039),0),IF(U52=$AD$3,0)))</f>
        <v>0</v>
      </c>
      <c r="U52" s="87" t="str">
        <f>IF(V52=1,$AD$2,IF(V52=2,$AD$1,IF(AND(V52&lt;&gt;1,V52&lt;&gt;20)=TRUE,$AD$3)))</f>
        <v>NONE</v>
      </c>
      <c r="V52" s="97"/>
      <c r="W52" s="90"/>
      <c r="X52" s="89">
        <f>Q52+P52</f>
        <v>0</v>
      </c>
      <c r="Y52" s="89"/>
      <c r="Z52" s="58">
        <f>IF(W52=$Z$1,Q52-500,0)</f>
        <v>0</v>
      </c>
      <c r="AA52" s="58">
        <f t="shared" si="36"/>
        <v>0</v>
      </c>
      <c r="AB52" s="58"/>
      <c r="AC52" s="98">
        <f>(O52+T52)-AA52</f>
        <v>0</v>
      </c>
      <c r="AD52" s="58"/>
      <c r="AE52" s="58">
        <f t="shared" si="25"/>
        <v>0</v>
      </c>
      <c r="AF52" s="58">
        <f>IF(AG52&gt;0,AG37:AG52,0)</f>
        <v>0</v>
      </c>
      <c r="AG52" s="58">
        <f t="shared" si="27"/>
        <v>0</v>
      </c>
      <c r="AI52">
        <f t="shared" si="28"/>
        <v>0</v>
      </c>
      <c r="AJ52">
        <f t="shared" si="29"/>
        <v>0</v>
      </c>
      <c r="AK52">
        <f t="shared" si="30"/>
        <v>0</v>
      </c>
      <c r="AL52">
        <f t="shared" si="31"/>
        <v>0</v>
      </c>
      <c r="AN52">
        <f t="shared" si="32"/>
        <v>0</v>
      </c>
      <c r="AO52">
        <f t="shared" si="33"/>
        <v>0</v>
      </c>
      <c r="AP52">
        <f t="shared" si="34"/>
        <v>0</v>
      </c>
      <c r="AQ52">
        <f t="shared" si="35"/>
        <v>0</v>
      </c>
    </row>
    <row r="53" spans="2:43" x14ac:dyDescent="0.3">
      <c r="B53" s="105" t="s">
        <v>84</v>
      </c>
      <c r="C53" s="86" t="s">
        <v>41</v>
      </c>
      <c r="D53" s="85" t="s">
        <v>42</v>
      </c>
      <c r="E53" s="84">
        <f t="shared" si="9"/>
        <v>9</v>
      </c>
      <c r="F53" s="84">
        <f t="shared" si="21"/>
        <v>0</v>
      </c>
      <c r="G53" s="84" t="s">
        <v>240</v>
      </c>
      <c r="H53" s="85">
        <v>9</v>
      </c>
      <c r="I53" s="85"/>
      <c r="J53" s="85" t="s">
        <v>93</v>
      </c>
      <c r="K53" s="84" t="s">
        <v>55</v>
      </c>
      <c r="L53" s="90">
        <v>3</v>
      </c>
      <c r="M53" s="96" t="s">
        <v>36</v>
      </c>
      <c r="N53" s="84"/>
      <c r="O53" s="50">
        <v>0</v>
      </c>
      <c r="P53" s="1"/>
      <c r="Q53">
        <f>IF(O53&gt;0,((O53+500)-P53),0)</f>
        <v>0</v>
      </c>
      <c r="S53" s="89">
        <v>3</v>
      </c>
      <c r="T53" s="72">
        <f t="shared" si="22"/>
        <v>0</v>
      </c>
      <c r="U53" s="7" t="str">
        <f t="shared" si="23"/>
        <v>NONE</v>
      </c>
      <c r="V53" s="68"/>
      <c r="W53" s="5"/>
      <c r="X53" s="1">
        <f t="shared" si="19"/>
        <v>0</v>
      </c>
      <c r="Y53" s="1"/>
      <c r="Z53" s="1">
        <f t="shared" si="24"/>
        <v>0</v>
      </c>
      <c r="AA53" s="1">
        <f t="shared" si="36"/>
        <v>130</v>
      </c>
      <c r="AB53" s="1"/>
      <c r="AC53">
        <f>O53-AA53</f>
        <v>-130</v>
      </c>
      <c r="AD53" s="1"/>
      <c r="AE53" s="1">
        <f t="shared" si="25"/>
        <v>0</v>
      </c>
      <c r="AF53" s="1">
        <f t="shared" si="26"/>
        <v>0</v>
      </c>
      <c r="AG53" s="1">
        <f t="shared" si="27"/>
        <v>-130</v>
      </c>
      <c r="AI53">
        <f t="shared" si="28"/>
        <v>0</v>
      </c>
      <c r="AJ53">
        <f t="shared" si="29"/>
        <v>0</v>
      </c>
      <c r="AK53">
        <f t="shared" si="30"/>
        <v>0</v>
      </c>
      <c r="AL53">
        <f t="shared" si="31"/>
        <v>0</v>
      </c>
      <c r="AN53">
        <f t="shared" si="32"/>
        <v>0</v>
      </c>
      <c r="AO53">
        <f t="shared" si="33"/>
        <v>0</v>
      </c>
      <c r="AP53">
        <f t="shared" si="34"/>
        <v>0</v>
      </c>
      <c r="AQ53">
        <f t="shared" si="35"/>
        <v>0</v>
      </c>
    </row>
    <row r="54" spans="2:43" x14ac:dyDescent="0.3">
      <c r="B54" s="16" t="s">
        <v>137</v>
      </c>
      <c r="C54" t="s">
        <v>136</v>
      </c>
      <c r="D54" s="16" t="s">
        <v>30</v>
      </c>
      <c r="E54">
        <f t="shared" ref="E54:E59" si="37">IF(D54=$B$12,H54,0)</f>
        <v>0</v>
      </c>
      <c r="F54">
        <f t="shared" ref="F54:F59" si="38">IF(E54&gt;0,0,1)</f>
        <v>1</v>
      </c>
      <c r="G54" s="108" t="s">
        <v>241</v>
      </c>
      <c r="H54" s="16">
        <v>7</v>
      </c>
      <c r="I54" s="16"/>
      <c r="J54" s="16" t="s">
        <v>40</v>
      </c>
      <c r="K54" t="s">
        <v>55</v>
      </c>
      <c r="L54" s="5">
        <v>3</v>
      </c>
      <c r="M54" s="4" t="s">
        <v>36</v>
      </c>
      <c r="O54" s="50">
        <f>1914-500</f>
        <v>1414</v>
      </c>
      <c r="P54" s="1">
        <f>ROUND(O54*0.4,0)</f>
        <v>566</v>
      </c>
      <c r="Q54">
        <f>IF(O54&gt;0,((O54+500)-P54),0)</f>
        <v>1348</v>
      </c>
      <c r="R54" s="57" t="s">
        <v>135</v>
      </c>
      <c r="S54" s="89">
        <v>3</v>
      </c>
      <c r="T54" s="72">
        <f t="shared" si="22"/>
        <v>0</v>
      </c>
      <c r="U54" s="7" t="str">
        <f t="shared" si="23"/>
        <v>NONE</v>
      </c>
      <c r="V54" s="68"/>
      <c r="W54" s="5" t="s">
        <v>328</v>
      </c>
      <c r="X54" s="1">
        <f>Q54+P54</f>
        <v>1914</v>
      </c>
      <c r="Y54" s="1"/>
      <c r="Z54" s="1">
        <f t="shared" si="24"/>
        <v>0</v>
      </c>
      <c r="AA54" s="1">
        <f t="shared" si="36"/>
        <v>130</v>
      </c>
      <c r="AB54" s="1"/>
      <c r="AC54">
        <f>O54-AA54</f>
        <v>1284</v>
      </c>
      <c r="AD54" s="1"/>
      <c r="AE54" s="1">
        <f t="shared" ref="AE54:AE59" si="39">IF(H54&gt;0,30*F54,0)</f>
        <v>30</v>
      </c>
      <c r="AF54" s="1">
        <f t="shared" si="26"/>
        <v>1254</v>
      </c>
      <c r="AG54" s="1">
        <f t="shared" si="27"/>
        <v>1254</v>
      </c>
      <c r="AI54">
        <f t="shared" si="28"/>
        <v>0</v>
      </c>
      <c r="AJ54">
        <f t="shared" si="29"/>
        <v>0</v>
      </c>
      <c r="AK54">
        <f t="shared" si="30"/>
        <v>1414</v>
      </c>
      <c r="AL54">
        <f t="shared" si="31"/>
        <v>0</v>
      </c>
      <c r="AN54">
        <f t="shared" si="32"/>
        <v>0</v>
      </c>
      <c r="AO54">
        <f t="shared" si="33"/>
        <v>0</v>
      </c>
      <c r="AP54">
        <f t="shared" si="34"/>
        <v>1414</v>
      </c>
      <c r="AQ54">
        <f t="shared" si="35"/>
        <v>0</v>
      </c>
    </row>
    <row r="55" spans="2:43" s="84" customFormat="1" x14ac:dyDescent="0.3">
      <c r="B55" s="90" t="s">
        <v>331</v>
      </c>
      <c r="C55" s="84" t="s">
        <v>261</v>
      </c>
      <c r="D55" s="84" t="s">
        <v>30</v>
      </c>
      <c r="E55" s="84">
        <f t="shared" si="37"/>
        <v>0</v>
      </c>
      <c r="F55" s="84">
        <f t="shared" si="38"/>
        <v>1</v>
      </c>
      <c r="G55" s="84" t="s">
        <v>262</v>
      </c>
      <c r="H55" s="85">
        <v>7</v>
      </c>
      <c r="I55" s="85"/>
      <c r="J55" s="84" t="s">
        <v>98</v>
      </c>
      <c r="K55" s="84" t="s">
        <v>263</v>
      </c>
      <c r="L55" s="90">
        <v>0</v>
      </c>
      <c r="M55" s="96" t="s">
        <v>36</v>
      </c>
      <c r="O55" s="107">
        <v>1474</v>
      </c>
      <c r="P55" s="58">
        <f>ROUND((O55*0.4),0)</f>
        <v>590</v>
      </c>
      <c r="Q55" s="84">
        <f>IF(O55&gt;0,((O55+500)-P55)+T55,0)</f>
        <v>1384</v>
      </c>
      <c r="R55" s="57" t="s">
        <v>264</v>
      </c>
      <c r="S55" s="89">
        <v>3</v>
      </c>
      <c r="T55" s="89">
        <f>IF(U55=$AD$2,47,IF(U55=$AD$1,ROUND(((O55+500)*0.039),0),IF(U55=$AD$3,0)))</f>
        <v>0</v>
      </c>
      <c r="U55" s="87" t="str">
        <f t="shared" si="23"/>
        <v>NONE</v>
      </c>
      <c r="V55" s="97"/>
      <c r="W55" s="114" t="s">
        <v>323</v>
      </c>
      <c r="X55" s="89">
        <f>Q55+P55</f>
        <v>1974</v>
      </c>
      <c r="Y55" s="89"/>
      <c r="Z55" s="58">
        <f t="shared" si="24"/>
        <v>0</v>
      </c>
      <c r="AA55" s="58">
        <f t="shared" si="36"/>
        <v>130</v>
      </c>
      <c r="AB55" s="58"/>
      <c r="AC55" s="98">
        <f>(O55+T55)-AA55</f>
        <v>1344</v>
      </c>
      <c r="AD55" s="58"/>
      <c r="AE55" s="58">
        <f t="shared" si="39"/>
        <v>30</v>
      </c>
      <c r="AF55" s="58">
        <f>IF(AG55&gt;0,AG38:AG55,0)</f>
        <v>1314</v>
      </c>
      <c r="AG55" s="58">
        <f t="shared" si="27"/>
        <v>1314</v>
      </c>
      <c r="AI55">
        <f t="shared" si="28"/>
        <v>0</v>
      </c>
      <c r="AJ55">
        <f t="shared" si="29"/>
        <v>0</v>
      </c>
      <c r="AK55">
        <f t="shared" si="30"/>
        <v>1474</v>
      </c>
      <c r="AL55">
        <f t="shared" si="31"/>
        <v>0</v>
      </c>
      <c r="AM55"/>
      <c r="AN55">
        <f t="shared" si="32"/>
        <v>0</v>
      </c>
      <c r="AO55">
        <f t="shared" si="33"/>
        <v>0</v>
      </c>
      <c r="AP55">
        <f t="shared" si="34"/>
        <v>1474</v>
      </c>
      <c r="AQ55">
        <f t="shared" si="35"/>
        <v>0</v>
      </c>
    </row>
    <row r="56" spans="2:43" x14ac:dyDescent="0.3">
      <c r="B56" t="s">
        <v>200</v>
      </c>
      <c r="C56" t="s">
        <v>199</v>
      </c>
      <c r="D56" s="16" t="s">
        <v>30</v>
      </c>
      <c r="E56">
        <f t="shared" si="37"/>
        <v>0</v>
      </c>
      <c r="F56">
        <f t="shared" si="38"/>
        <v>1</v>
      </c>
      <c r="G56" s="84" t="s">
        <v>242</v>
      </c>
      <c r="H56" s="16">
        <v>14</v>
      </c>
      <c r="I56" s="16"/>
      <c r="J56" s="16" t="s">
        <v>201</v>
      </c>
      <c r="K56" t="s">
        <v>55</v>
      </c>
      <c r="L56" s="5">
        <v>3</v>
      </c>
      <c r="M56" s="4" t="s">
        <v>36</v>
      </c>
      <c r="O56" s="51">
        <v>3020</v>
      </c>
      <c r="P56" s="1">
        <f>ROUND((O56*0.4),0)</f>
        <v>1208</v>
      </c>
      <c r="Q56">
        <f>IF(O56&gt;0,((O56+500)-P56),0)</f>
        <v>2312</v>
      </c>
      <c r="R56" s="57" t="s">
        <v>203</v>
      </c>
      <c r="S56" s="89">
        <v>3</v>
      </c>
      <c r="T56" s="72">
        <f t="shared" si="22"/>
        <v>137.28</v>
      </c>
      <c r="U56" s="7" t="str">
        <f t="shared" si="23"/>
        <v>PAYPAL</v>
      </c>
      <c r="V56" s="68">
        <v>2</v>
      </c>
      <c r="W56" s="90" t="s">
        <v>322</v>
      </c>
      <c r="X56" s="1">
        <f>Q56+P56</f>
        <v>3520</v>
      </c>
      <c r="Y56" s="1"/>
      <c r="Z56" s="1">
        <f t="shared" si="24"/>
        <v>0</v>
      </c>
      <c r="AA56" s="1">
        <f t="shared" si="36"/>
        <v>130</v>
      </c>
      <c r="AB56" s="1"/>
      <c r="AC56">
        <f>O56-AA56</f>
        <v>2890</v>
      </c>
      <c r="AD56" s="1"/>
      <c r="AE56" s="1">
        <f t="shared" si="39"/>
        <v>30</v>
      </c>
      <c r="AF56" s="1">
        <f t="shared" si="26"/>
        <v>2860</v>
      </c>
      <c r="AG56" s="1">
        <f t="shared" si="27"/>
        <v>2860</v>
      </c>
      <c r="AI56">
        <f t="shared" si="28"/>
        <v>0</v>
      </c>
      <c r="AJ56">
        <f t="shared" si="29"/>
        <v>0</v>
      </c>
      <c r="AK56">
        <f t="shared" si="30"/>
        <v>3020</v>
      </c>
      <c r="AL56">
        <f t="shared" si="31"/>
        <v>0</v>
      </c>
      <c r="AN56">
        <f t="shared" si="32"/>
        <v>0</v>
      </c>
      <c r="AO56">
        <f t="shared" si="33"/>
        <v>0</v>
      </c>
      <c r="AP56">
        <f t="shared" si="34"/>
        <v>3020</v>
      </c>
      <c r="AQ56">
        <f t="shared" si="35"/>
        <v>0</v>
      </c>
    </row>
    <row r="57" spans="2:43" x14ac:dyDescent="0.3">
      <c r="B57" s="16"/>
      <c r="C57" s="8"/>
      <c r="D57" s="16"/>
      <c r="E57">
        <f t="shared" si="37"/>
        <v>0</v>
      </c>
      <c r="F57">
        <f t="shared" si="38"/>
        <v>1</v>
      </c>
      <c r="G57" s="16"/>
      <c r="H57" s="16">
        <v>0</v>
      </c>
      <c r="I57" s="16"/>
      <c r="J57" s="16"/>
      <c r="M57" s="4"/>
      <c r="O57" s="50">
        <v>0</v>
      </c>
      <c r="P57" s="1">
        <f>ROUND((O57*0.4),0)</f>
        <v>0</v>
      </c>
      <c r="Q57">
        <f>IF(O57&gt;0,((O57+500)-P57),0)</f>
        <v>0</v>
      </c>
      <c r="R57" s="6"/>
      <c r="S57" s="89">
        <v>3</v>
      </c>
      <c r="T57" s="72">
        <f t="shared" si="22"/>
        <v>0</v>
      </c>
      <c r="U57" s="7" t="str">
        <f t="shared" si="23"/>
        <v>NONE</v>
      </c>
      <c r="V57" s="68"/>
      <c r="W57" s="5"/>
      <c r="X57" s="72">
        <f>Q57+P57+T57</f>
        <v>0</v>
      </c>
      <c r="Y57" s="72"/>
      <c r="Z57" s="1">
        <f t="shared" si="24"/>
        <v>0</v>
      </c>
      <c r="AA57" s="1">
        <f t="shared" si="36"/>
        <v>0</v>
      </c>
      <c r="AB57" s="1"/>
      <c r="AC57" s="76">
        <f>(O57+T57)-AA57</f>
        <v>0</v>
      </c>
      <c r="AD57" s="1"/>
      <c r="AE57" s="1">
        <f t="shared" si="39"/>
        <v>0</v>
      </c>
      <c r="AF57" s="1">
        <f t="shared" si="26"/>
        <v>0</v>
      </c>
      <c r="AG57" s="1">
        <f t="shared" si="27"/>
        <v>0</v>
      </c>
      <c r="AI57">
        <f t="shared" si="28"/>
        <v>0</v>
      </c>
      <c r="AJ57">
        <f t="shared" si="29"/>
        <v>0</v>
      </c>
      <c r="AK57">
        <f t="shared" si="30"/>
        <v>0</v>
      </c>
      <c r="AL57">
        <f t="shared" si="31"/>
        <v>0</v>
      </c>
      <c r="AN57">
        <f t="shared" si="32"/>
        <v>0</v>
      </c>
      <c r="AO57">
        <f t="shared" si="33"/>
        <v>0</v>
      </c>
      <c r="AP57">
        <f t="shared" si="34"/>
        <v>0</v>
      </c>
      <c r="AQ57">
        <f t="shared" si="35"/>
        <v>0</v>
      </c>
    </row>
    <row r="58" spans="2:43" x14ac:dyDescent="0.3">
      <c r="B58" s="8" t="s">
        <v>196</v>
      </c>
      <c r="C58" t="s">
        <v>195</v>
      </c>
      <c r="D58" s="16" t="s">
        <v>197</v>
      </c>
      <c r="E58">
        <f t="shared" si="37"/>
        <v>0</v>
      </c>
      <c r="F58">
        <f t="shared" si="38"/>
        <v>1</v>
      </c>
      <c r="G58" s="16" t="s">
        <v>194</v>
      </c>
      <c r="H58" s="16">
        <v>14</v>
      </c>
      <c r="I58" s="16"/>
      <c r="J58" s="16" t="s">
        <v>190</v>
      </c>
      <c r="K58" t="s">
        <v>55</v>
      </c>
      <c r="L58" s="5">
        <v>0</v>
      </c>
      <c r="M58" s="4" t="s">
        <v>36</v>
      </c>
      <c r="O58" s="50">
        <f>ROUND(((2311+500)*0.039)+2311,0)</f>
        <v>2421</v>
      </c>
      <c r="P58" s="1">
        <f>ROUND((O58*0.4),0)</f>
        <v>968</v>
      </c>
      <c r="Q58">
        <f>IF(O58&gt;0,((O58+500)-P58),0)</f>
        <v>1953</v>
      </c>
      <c r="R58" s="57" t="s">
        <v>198</v>
      </c>
      <c r="S58" s="89">
        <v>3</v>
      </c>
      <c r="T58" s="72">
        <f t="shared" si="22"/>
        <v>113.919</v>
      </c>
      <c r="U58" s="7" t="str">
        <f t="shared" si="23"/>
        <v>PAYPAL</v>
      </c>
      <c r="V58" s="68">
        <v>2</v>
      </c>
      <c r="W58" s="109" t="s">
        <v>327</v>
      </c>
      <c r="X58" s="1">
        <f t="shared" si="19"/>
        <v>2921</v>
      </c>
      <c r="Y58" s="1"/>
      <c r="Z58" s="1">
        <f t="shared" si="24"/>
        <v>0</v>
      </c>
      <c r="AA58" s="1">
        <f t="shared" si="36"/>
        <v>130</v>
      </c>
      <c r="AB58" s="1"/>
      <c r="AC58">
        <f>O58-AA58</f>
        <v>2291</v>
      </c>
      <c r="AD58" s="1"/>
      <c r="AE58" s="1">
        <f t="shared" si="39"/>
        <v>30</v>
      </c>
      <c r="AF58" s="1">
        <f t="shared" si="26"/>
        <v>2261</v>
      </c>
      <c r="AG58" s="1">
        <f t="shared" si="27"/>
        <v>2261</v>
      </c>
      <c r="AI58">
        <f t="shared" si="28"/>
        <v>0</v>
      </c>
      <c r="AJ58">
        <f t="shared" si="29"/>
        <v>0</v>
      </c>
      <c r="AK58">
        <f t="shared" si="30"/>
        <v>2421</v>
      </c>
      <c r="AL58">
        <f t="shared" si="31"/>
        <v>0</v>
      </c>
      <c r="AN58">
        <f t="shared" si="32"/>
        <v>0</v>
      </c>
      <c r="AO58">
        <f t="shared" si="33"/>
        <v>0</v>
      </c>
      <c r="AP58">
        <f t="shared" si="34"/>
        <v>2421</v>
      </c>
      <c r="AQ58">
        <f t="shared" si="35"/>
        <v>0</v>
      </c>
    </row>
    <row r="59" spans="2:43" x14ac:dyDescent="0.3">
      <c r="B59" s="17" t="s">
        <v>146</v>
      </c>
      <c r="C59" t="s">
        <v>147</v>
      </c>
      <c r="D59" s="16" t="s">
        <v>61</v>
      </c>
      <c r="E59">
        <f t="shared" si="37"/>
        <v>0</v>
      </c>
      <c r="F59">
        <f t="shared" si="38"/>
        <v>1</v>
      </c>
      <c r="G59" t="s">
        <v>145</v>
      </c>
      <c r="H59" s="16">
        <v>7</v>
      </c>
      <c r="I59" s="16"/>
      <c r="J59" s="16" t="s">
        <v>108</v>
      </c>
      <c r="K59" t="s">
        <v>55</v>
      </c>
      <c r="L59" s="5">
        <v>0</v>
      </c>
      <c r="M59" s="4" t="s">
        <v>36</v>
      </c>
      <c r="O59" s="50">
        <v>1431</v>
      </c>
      <c r="P59" s="1">
        <f>ROUND(O59*0.4,0)</f>
        <v>572</v>
      </c>
      <c r="Q59">
        <f>IF(O59&gt;0,((O59+500)-P59),0)</f>
        <v>1359</v>
      </c>
      <c r="R59" s="57" t="s">
        <v>148</v>
      </c>
      <c r="S59" s="89">
        <v>3</v>
      </c>
      <c r="T59" s="72">
        <f t="shared" si="22"/>
        <v>75.308999999999997</v>
      </c>
      <c r="U59" s="7" t="str">
        <f t="shared" si="23"/>
        <v>PAYPAL</v>
      </c>
      <c r="V59" s="68">
        <v>2</v>
      </c>
      <c r="W59" s="90" t="s">
        <v>335</v>
      </c>
      <c r="X59" s="1">
        <f>Q59+P59</f>
        <v>1931</v>
      </c>
      <c r="Y59" s="1"/>
      <c r="Z59" s="1">
        <f t="shared" si="24"/>
        <v>0</v>
      </c>
      <c r="AA59" s="1">
        <f t="shared" si="36"/>
        <v>130</v>
      </c>
      <c r="AB59" s="1"/>
      <c r="AC59">
        <f>O59-AA59</f>
        <v>1301</v>
      </c>
      <c r="AD59" s="1"/>
      <c r="AE59" s="1">
        <f t="shared" si="39"/>
        <v>30</v>
      </c>
      <c r="AF59" s="1">
        <f t="shared" si="26"/>
        <v>1271</v>
      </c>
      <c r="AG59" s="1">
        <f t="shared" si="27"/>
        <v>1271</v>
      </c>
      <c r="AI59">
        <f t="shared" si="28"/>
        <v>0</v>
      </c>
      <c r="AJ59">
        <f t="shared" si="29"/>
        <v>0</v>
      </c>
      <c r="AK59">
        <f t="shared" si="30"/>
        <v>1431</v>
      </c>
      <c r="AL59">
        <f t="shared" si="31"/>
        <v>0</v>
      </c>
      <c r="AN59">
        <f t="shared" si="32"/>
        <v>0</v>
      </c>
      <c r="AO59">
        <f t="shared" si="33"/>
        <v>0</v>
      </c>
      <c r="AP59">
        <f t="shared" si="34"/>
        <v>1431</v>
      </c>
      <c r="AQ59">
        <f t="shared" si="35"/>
        <v>0</v>
      </c>
    </row>
    <row r="60" spans="2:43" x14ac:dyDescent="0.3">
      <c r="B60" s="104" t="s">
        <v>82</v>
      </c>
      <c r="C60" s="8" t="s">
        <v>41</v>
      </c>
      <c r="D60" s="16" t="s">
        <v>42</v>
      </c>
      <c r="E60">
        <f t="shared" si="9"/>
        <v>3</v>
      </c>
      <c r="F60">
        <f t="shared" si="21"/>
        <v>0</v>
      </c>
      <c r="G60" t="s">
        <v>243</v>
      </c>
      <c r="H60" s="16">
        <v>3</v>
      </c>
      <c r="I60" s="16"/>
      <c r="J60" s="16" t="s">
        <v>63</v>
      </c>
      <c r="K60" t="s">
        <v>55</v>
      </c>
      <c r="L60" s="5">
        <v>3</v>
      </c>
      <c r="M60" s="4" t="s">
        <v>36</v>
      </c>
      <c r="O60" s="50">
        <v>0</v>
      </c>
      <c r="P60" s="1">
        <v>0</v>
      </c>
      <c r="Q60">
        <f t="shared" ref="Q60:Q70" si="40">IF(O60&gt;0,((O60+500)-P60),0)</f>
        <v>0</v>
      </c>
      <c r="R60" s="6" t="s">
        <v>42</v>
      </c>
      <c r="S60" s="72">
        <v>4</v>
      </c>
      <c r="T60" s="72">
        <f>IF(U60=$AD$2,47,IF(U60=$AD$1,ROUND(((Q60+P60)*0.039),0),IF(U60=$AD$3,0)))</f>
        <v>0</v>
      </c>
      <c r="U60" s="7" t="str">
        <f t="shared" si="23"/>
        <v>NONE</v>
      </c>
      <c r="V60" s="68"/>
      <c r="W60" s="5"/>
      <c r="X60" s="1">
        <f t="shared" si="19"/>
        <v>0</v>
      </c>
      <c r="Y60" s="1"/>
      <c r="Z60" s="1">
        <f t="shared" si="24"/>
        <v>0</v>
      </c>
      <c r="AA60" s="1">
        <f t="shared" si="36"/>
        <v>130</v>
      </c>
      <c r="AB60" s="1"/>
      <c r="AC60">
        <f>O60-AA60</f>
        <v>-130</v>
      </c>
      <c r="AD60" s="1"/>
      <c r="AE60" s="1">
        <f t="shared" si="25"/>
        <v>0</v>
      </c>
      <c r="AF60" s="1">
        <f t="shared" si="26"/>
        <v>0</v>
      </c>
      <c r="AG60" s="1">
        <f t="shared" si="27"/>
        <v>-130</v>
      </c>
      <c r="AI60">
        <f t="shared" si="28"/>
        <v>0</v>
      </c>
      <c r="AJ60">
        <f t="shared" si="29"/>
        <v>0</v>
      </c>
      <c r="AK60">
        <f t="shared" si="30"/>
        <v>0</v>
      </c>
      <c r="AL60">
        <f t="shared" si="31"/>
        <v>0</v>
      </c>
      <c r="AN60">
        <f t="shared" si="32"/>
        <v>0</v>
      </c>
      <c r="AO60">
        <f t="shared" si="33"/>
        <v>0</v>
      </c>
      <c r="AP60">
        <f t="shared" si="34"/>
        <v>0</v>
      </c>
      <c r="AQ60">
        <f t="shared" si="35"/>
        <v>0</v>
      </c>
    </row>
    <row r="61" spans="2:43" s="84" customFormat="1" x14ac:dyDescent="0.3">
      <c r="B61" s="84" t="s">
        <v>182</v>
      </c>
      <c r="C61" s="84" t="s">
        <v>181</v>
      </c>
      <c r="D61" s="84" t="s">
        <v>30</v>
      </c>
      <c r="E61" s="84">
        <f t="shared" si="9"/>
        <v>0</v>
      </c>
      <c r="F61" s="84">
        <f t="shared" si="21"/>
        <v>1</v>
      </c>
      <c r="G61" s="84" t="s">
        <v>183</v>
      </c>
      <c r="H61" s="85">
        <v>11</v>
      </c>
      <c r="I61" s="85"/>
      <c r="J61" s="84" t="s">
        <v>184</v>
      </c>
      <c r="K61" s="84" t="s">
        <v>55</v>
      </c>
      <c r="L61" s="90">
        <v>0</v>
      </c>
      <c r="M61" s="96" t="s">
        <v>36</v>
      </c>
      <c r="O61" s="107">
        <v>1856</v>
      </c>
      <c r="P61" s="58">
        <f t="shared" ref="P61:P66" si="41">ROUND((O61*0.4),0)</f>
        <v>742</v>
      </c>
      <c r="Q61" s="84">
        <f t="shared" si="40"/>
        <v>1614</v>
      </c>
      <c r="R61" s="120" t="s">
        <v>185</v>
      </c>
      <c r="S61" s="127">
        <v>4</v>
      </c>
      <c r="T61" s="89">
        <f t="shared" si="22"/>
        <v>47</v>
      </c>
      <c r="U61" s="87" t="str">
        <f t="shared" si="23"/>
        <v>BANK</v>
      </c>
      <c r="V61" s="97">
        <v>1</v>
      </c>
      <c r="W61" s="90" t="s">
        <v>343</v>
      </c>
      <c r="X61" s="58">
        <f t="shared" ref="X61:X66" si="42">Q61+P61</f>
        <v>2356</v>
      </c>
      <c r="Y61" s="58"/>
      <c r="Z61" s="58">
        <f t="shared" si="24"/>
        <v>0</v>
      </c>
      <c r="AA61" s="58">
        <f t="shared" si="36"/>
        <v>130</v>
      </c>
      <c r="AB61" s="58"/>
      <c r="AC61" s="84">
        <f t="shared" ref="AC61:AC66" si="43">O61-AA61</f>
        <v>1726</v>
      </c>
      <c r="AD61" s="58"/>
      <c r="AE61" s="58">
        <f t="shared" si="25"/>
        <v>30</v>
      </c>
      <c r="AF61" s="58">
        <f t="shared" si="26"/>
        <v>1696</v>
      </c>
      <c r="AG61" s="58">
        <f t="shared" si="27"/>
        <v>1696</v>
      </c>
      <c r="AI61">
        <f t="shared" si="28"/>
        <v>0</v>
      </c>
      <c r="AJ61">
        <f t="shared" si="29"/>
        <v>0</v>
      </c>
      <c r="AK61">
        <f t="shared" si="30"/>
        <v>0</v>
      </c>
      <c r="AL61">
        <f t="shared" si="31"/>
        <v>1856</v>
      </c>
      <c r="AM61"/>
      <c r="AN61">
        <f t="shared" si="32"/>
        <v>0</v>
      </c>
      <c r="AO61">
        <f t="shared" si="33"/>
        <v>0</v>
      </c>
      <c r="AP61">
        <f t="shared" si="34"/>
        <v>0</v>
      </c>
      <c r="AQ61">
        <f t="shared" si="35"/>
        <v>1856</v>
      </c>
    </row>
    <row r="62" spans="2:43" s="84" customFormat="1" x14ac:dyDescent="0.3">
      <c r="B62" s="84" t="s">
        <v>295</v>
      </c>
      <c r="C62" s="84" t="s">
        <v>293</v>
      </c>
      <c r="D62" s="84" t="s">
        <v>30</v>
      </c>
      <c r="E62" s="84">
        <f t="shared" si="9"/>
        <v>0</v>
      </c>
      <c r="F62" s="84">
        <f t="shared" si="21"/>
        <v>1</v>
      </c>
      <c r="G62" s="84" t="s">
        <v>294</v>
      </c>
      <c r="H62" s="85">
        <v>7</v>
      </c>
      <c r="I62" s="85"/>
      <c r="J62" s="84" t="s">
        <v>40</v>
      </c>
      <c r="K62" s="84" t="s">
        <v>55</v>
      </c>
      <c r="L62" s="90">
        <v>3</v>
      </c>
      <c r="M62" s="96" t="s">
        <v>36</v>
      </c>
      <c r="O62" s="107">
        <v>1364</v>
      </c>
      <c r="P62" s="58">
        <f>ROUND((O62*0.4),0)</f>
        <v>546</v>
      </c>
      <c r="Q62" s="84">
        <f>IF(O62&gt;0,((O62+500)-P62)+T62,0)</f>
        <v>1391</v>
      </c>
      <c r="R62" s="57">
        <v>40789</v>
      </c>
      <c r="S62" s="89">
        <v>4</v>
      </c>
      <c r="T62" s="89">
        <f>IF(U62=$AD$2,47,IF(U62=$AD$1,ROUND(((O62+500)*0.039),0),IF(U62=$AD$3,0)))</f>
        <v>73</v>
      </c>
      <c r="U62" s="87" t="str">
        <f t="shared" si="23"/>
        <v>PAYPAL</v>
      </c>
      <c r="V62" s="97">
        <v>2</v>
      </c>
      <c r="W62" s="90" t="s">
        <v>351</v>
      </c>
      <c r="X62" s="89">
        <f>Q62+P62</f>
        <v>1937</v>
      </c>
      <c r="Y62" s="89"/>
      <c r="Z62" s="58">
        <f t="shared" si="24"/>
        <v>0</v>
      </c>
      <c r="AA62" s="58">
        <f t="shared" si="36"/>
        <v>130</v>
      </c>
      <c r="AB62" s="58"/>
      <c r="AC62" s="98">
        <f>(O62+T62)-AA62</f>
        <v>1307</v>
      </c>
      <c r="AD62" s="58"/>
      <c r="AE62" s="58">
        <f t="shared" si="25"/>
        <v>30</v>
      </c>
      <c r="AF62" s="58">
        <f>IF(AG62&gt;0,AG47:AG62,0)</f>
        <v>1277</v>
      </c>
      <c r="AG62" s="58">
        <f t="shared" si="27"/>
        <v>1277</v>
      </c>
      <c r="AI62">
        <f t="shared" si="28"/>
        <v>0</v>
      </c>
      <c r="AJ62">
        <f t="shared" si="29"/>
        <v>0</v>
      </c>
      <c r="AK62">
        <f t="shared" si="30"/>
        <v>0</v>
      </c>
      <c r="AL62">
        <f t="shared" si="31"/>
        <v>1364</v>
      </c>
      <c r="AM62"/>
      <c r="AN62">
        <f t="shared" si="32"/>
        <v>0</v>
      </c>
      <c r="AO62">
        <f t="shared" si="33"/>
        <v>0</v>
      </c>
      <c r="AP62">
        <f t="shared" si="34"/>
        <v>0</v>
      </c>
      <c r="AQ62">
        <f t="shared" si="35"/>
        <v>1364</v>
      </c>
    </row>
    <row r="63" spans="2:43" s="84" customFormat="1" x14ac:dyDescent="0.3">
      <c r="B63" s="122" t="s">
        <v>258</v>
      </c>
      <c r="C63" t="s">
        <v>212</v>
      </c>
      <c r="D63" s="84" t="s">
        <v>61</v>
      </c>
      <c r="E63" s="84">
        <f t="shared" si="9"/>
        <v>0</v>
      </c>
      <c r="F63" s="84">
        <f t="shared" si="21"/>
        <v>1</v>
      </c>
      <c r="G63" s="84" t="s">
        <v>246</v>
      </c>
      <c r="H63" s="85">
        <v>5</v>
      </c>
      <c r="I63" s="85"/>
      <c r="J63" s="84" t="s">
        <v>80</v>
      </c>
      <c r="K63" s="84" t="s">
        <v>55</v>
      </c>
      <c r="L63" s="60">
        <v>0</v>
      </c>
      <c r="M63" s="96" t="s">
        <v>36</v>
      </c>
      <c r="O63" s="107">
        <v>931</v>
      </c>
      <c r="P63" s="58">
        <f t="shared" si="41"/>
        <v>372</v>
      </c>
      <c r="Q63" s="84">
        <f t="shared" si="40"/>
        <v>1059</v>
      </c>
      <c r="R63" s="57" t="s">
        <v>213</v>
      </c>
      <c r="S63" s="89">
        <v>4</v>
      </c>
      <c r="T63" s="89">
        <f t="shared" si="22"/>
        <v>55.808999999999997</v>
      </c>
      <c r="U63" s="87" t="str">
        <f t="shared" si="23"/>
        <v>PAYPAL</v>
      </c>
      <c r="V63" s="97">
        <v>2</v>
      </c>
      <c r="W63" s="90" t="s">
        <v>351</v>
      </c>
      <c r="X63" s="58">
        <f t="shared" si="42"/>
        <v>1431</v>
      </c>
      <c r="Y63" s="58"/>
      <c r="Z63" s="58">
        <f t="shared" si="24"/>
        <v>0</v>
      </c>
      <c r="AA63" s="58">
        <f t="shared" si="36"/>
        <v>130</v>
      </c>
      <c r="AB63" s="58"/>
      <c r="AC63" s="84">
        <f t="shared" si="43"/>
        <v>801</v>
      </c>
      <c r="AD63" s="58"/>
      <c r="AE63" s="58">
        <f t="shared" si="25"/>
        <v>30</v>
      </c>
      <c r="AF63" s="58">
        <f t="shared" si="26"/>
        <v>771</v>
      </c>
      <c r="AG63" s="58">
        <f t="shared" si="27"/>
        <v>771</v>
      </c>
      <c r="AI63">
        <f t="shared" si="28"/>
        <v>0</v>
      </c>
      <c r="AJ63">
        <f t="shared" si="29"/>
        <v>0</v>
      </c>
      <c r="AK63">
        <f t="shared" si="30"/>
        <v>0</v>
      </c>
      <c r="AL63">
        <f t="shared" si="31"/>
        <v>931</v>
      </c>
      <c r="AM63"/>
      <c r="AN63">
        <f t="shared" si="32"/>
        <v>0</v>
      </c>
      <c r="AO63">
        <f t="shared" si="33"/>
        <v>0</v>
      </c>
      <c r="AP63">
        <f t="shared" si="34"/>
        <v>0</v>
      </c>
      <c r="AQ63">
        <f t="shared" si="35"/>
        <v>931</v>
      </c>
    </row>
    <row r="64" spans="2:43" x14ac:dyDescent="0.3">
      <c r="B64" s="104" t="s">
        <v>82</v>
      </c>
      <c r="C64" s="8" t="s">
        <v>42</v>
      </c>
      <c r="D64" s="16" t="s">
        <v>42</v>
      </c>
      <c r="E64">
        <f>IF(D64=$B$12,H64,0)</f>
        <v>3</v>
      </c>
      <c r="F64">
        <f>IF(E64&gt;0,0,1)</f>
        <v>0</v>
      </c>
      <c r="G64" t="s">
        <v>247</v>
      </c>
      <c r="H64" s="16">
        <v>3</v>
      </c>
      <c r="I64" s="16"/>
      <c r="J64" s="16" t="s">
        <v>188</v>
      </c>
      <c r="K64" t="s">
        <v>55</v>
      </c>
      <c r="L64" s="5">
        <v>3</v>
      </c>
      <c r="M64" s="4" t="s">
        <v>36</v>
      </c>
      <c r="O64" s="107">
        <v>0</v>
      </c>
      <c r="P64" s="1">
        <f>ROUND((O64*0.4),0)</f>
        <v>0</v>
      </c>
      <c r="Q64">
        <f>IF(O64&gt;0,((O64+500)-P64),0)</f>
        <v>0</v>
      </c>
      <c r="R64" s="6"/>
      <c r="S64" s="72">
        <v>4</v>
      </c>
      <c r="T64" s="72">
        <f>IF(U64=$AD$2,47,IF(U64=$AD$1,ROUND(((Q64+P64)*0.039),0),IF(U64=$AD$3,0)))</f>
        <v>0</v>
      </c>
      <c r="U64" s="7" t="str">
        <f t="shared" si="23"/>
        <v>NONE</v>
      </c>
      <c r="V64" s="68"/>
      <c r="W64" s="5"/>
      <c r="X64" s="1">
        <f t="shared" si="42"/>
        <v>0</v>
      </c>
      <c r="Y64" s="1"/>
      <c r="Z64" s="1">
        <f t="shared" si="24"/>
        <v>0</v>
      </c>
      <c r="AA64" s="1">
        <f t="shared" si="36"/>
        <v>130</v>
      </c>
      <c r="AB64" s="1"/>
      <c r="AC64">
        <f t="shared" si="43"/>
        <v>-130</v>
      </c>
      <c r="AD64" s="1"/>
      <c r="AE64" s="1">
        <f>IF(H64&gt;0,30*F64,0)</f>
        <v>0</v>
      </c>
      <c r="AF64" s="1">
        <f t="shared" si="26"/>
        <v>0</v>
      </c>
      <c r="AG64" s="1">
        <f t="shared" si="27"/>
        <v>-130</v>
      </c>
      <c r="AI64">
        <f t="shared" si="28"/>
        <v>0</v>
      </c>
      <c r="AJ64">
        <f t="shared" si="29"/>
        <v>0</v>
      </c>
      <c r="AK64">
        <f t="shared" si="30"/>
        <v>0</v>
      </c>
      <c r="AL64">
        <f t="shared" si="31"/>
        <v>0</v>
      </c>
      <c r="AN64">
        <f t="shared" si="32"/>
        <v>0</v>
      </c>
      <c r="AO64">
        <f t="shared" si="33"/>
        <v>0</v>
      </c>
      <c r="AP64">
        <f t="shared" si="34"/>
        <v>0</v>
      </c>
      <c r="AQ64">
        <f t="shared" si="35"/>
        <v>0</v>
      </c>
    </row>
    <row r="65" spans="1:44" s="84" customFormat="1" x14ac:dyDescent="0.3">
      <c r="B65" s="124" t="s">
        <v>269</v>
      </c>
      <c r="C65" s="84" t="s">
        <v>272</v>
      </c>
      <c r="D65" s="84" t="s">
        <v>30</v>
      </c>
      <c r="E65" s="84">
        <f>IF(D65=$B$12,H65,0)</f>
        <v>0</v>
      </c>
      <c r="F65" s="84">
        <f>IF(E65&gt;0,0,1)</f>
        <v>1</v>
      </c>
      <c r="G65" s="84" t="s">
        <v>270</v>
      </c>
      <c r="H65" s="85">
        <v>7</v>
      </c>
      <c r="I65" s="85"/>
      <c r="J65" s="84" t="s">
        <v>98</v>
      </c>
      <c r="K65" s="84" t="s">
        <v>55</v>
      </c>
      <c r="L65" s="90">
        <v>3</v>
      </c>
      <c r="M65" s="96" t="s">
        <v>36</v>
      </c>
      <c r="O65" s="107">
        <v>1474</v>
      </c>
      <c r="P65" s="58">
        <f>ROUND((O65*0.4),0)</f>
        <v>590</v>
      </c>
      <c r="Q65" s="84">
        <f>IF(O65&gt;0,((O65+500)-P65)+T65,0)</f>
        <v>1461</v>
      </c>
      <c r="R65" s="57" t="s">
        <v>271</v>
      </c>
      <c r="S65" s="89">
        <v>4</v>
      </c>
      <c r="T65" s="89">
        <f>IF(U65=$AD$2,47,IF(U65=$AD$1,ROUND(((O65+500)*0.039),0),IF(U65=$AD$3,0)))</f>
        <v>77</v>
      </c>
      <c r="U65" s="87" t="str">
        <f t="shared" si="23"/>
        <v>PAYPAL</v>
      </c>
      <c r="V65" s="97">
        <v>2</v>
      </c>
      <c r="W65" s="60" t="s">
        <v>351</v>
      </c>
      <c r="X65" s="89">
        <f>Q65+P65</f>
        <v>2051</v>
      </c>
      <c r="Y65" s="89"/>
      <c r="Z65" s="58">
        <f t="shared" si="24"/>
        <v>0</v>
      </c>
      <c r="AA65" s="58">
        <f t="shared" si="36"/>
        <v>130</v>
      </c>
      <c r="AB65" s="58"/>
      <c r="AC65" s="98">
        <f>(O65+T65)-AA65</f>
        <v>1421</v>
      </c>
      <c r="AD65" s="58"/>
      <c r="AE65" s="58">
        <f>IF(H65&gt;0,30*F65,0)</f>
        <v>30</v>
      </c>
      <c r="AF65" s="58">
        <f>IF(AG65&gt;0,AG48:AG65,0)</f>
        <v>1391</v>
      </c>
      <c r="AG65" s="58">
        <f t="shared" si="27"/>
        <v>1391</v>
      </c>
      <c r="AI65">
        <f t="shared" si="28"/>
        <v>0</v>
      </c>
      <c r="AJ65">
        <f t="shared" si="29"/>
        <v>0</v>
      </c>
      <c r="AK65">
        <f t="shared" si="30"/>
        <v>0</v>
      </c>
      <c r="AL65">
        <f t="shared" si="31"/>
        <v>1474</v>
      </c>
      <c r="AM65"/>
      <c r="AN65">
        <f t="shared" si="32"/>
        <v>0</v>
      </c>
      <c r="AO65">
        <f t="shared" si="33"/>
        <v>0</v>
      </c>
      <c r="AP65">
        <f t="shared" si="34"/>
        <v>0</v>
      </c>
      <c r="AQ65">
        <f t="shared" si="35"/>
        <v>1474</v>
      </c>
    </row>
    <row r="66" spans="1:44" s="84" customFormat="1" x14ac:dyDescent="0.3">
      <c r="B66" s="86" t="s">
        <v>186</v>
      </c>
      <c r="C66" s="84" t="s">
        <v>349</v>
      </c>
      <c r="D66" s="85" t="s">
        <v>61</v>
      </c>
      <c r="E66" s="84">
        <f t="shared" si="9"/>
        <v>0</v>
      </c>
      <c r="F66" s="84">
        <f t="shared" si="21"/>
        <v>1</v>
      </c>
      <c r="G66" s="85" t="s">
        <v>187</v>
      </c>
      <c r="H66" s="85">
        <v>10</v>
      </c>
      <c r="I66" s="85"/>
      <c r="J66" s="85" t="s">
        <v>184</v>
      </c>
      <c r="K66" s="84" t="s">
        <v>55</v>
      </c>
      <c r="L66" s="90">
        <v>0</v>
      </c>
      <c r="M66" s="96" t="s">
        <v>36</v>
      </c>
      <c r="O66" s="107">
        <v>1790</v>
      </c>
      <c r="P66" s="58">
        <f t="shared" si="41"/>
        <v>716</v>
      </c>
      <c r="Q66" s="84">
        <f t="shared" si="40"/>
        <v>1574</v>
      </c>
      <c r="R66" s="57">
        <v>40808</v>
      </c>
      <c r="S66" s="89"/>
      <c r="T66" s="89">
        <f t="shared" si="22"/>
        <v>89.31</v>
      </c>
      <c r="U66" s="87" t="str">
        <f t="shared" si="23"/>
        <v>PAYPAL</v>
      </c>
      <c r="V66" s="97">
        <v>2</v>
      </c>
      <c r="W66" s="90" t="s">
        <v>351</v>
      </c>
      <c r="X66" s="58">
        <f t="shared" si="42"/>
        <v>2290</v>
      </c>
      <c r="Y66" s="58"/>
      <c r="Z66" s="58">
        <f t="shared" si="24"/>
        <v>0</v>
      </c>
      <c r="AA66" s="58">
        <f t="shared" si="36"/>
        <v>130</v>
      </c>
      <c r="AB66" s="58"/>
      <c r="AC66" s="84">
        <f t="shared" si="43"/>
        <v>1660</v>
      </c>
      <c r="AD66" s="58"/>
      <c r="AE66" s="58">
        <f t="shared" si="25"/>
        <v>30</v>
      </c>
      <c r="AF66" s="58">
        <f t="shared" si="26"/>
        <v>1630</v>
      </c>
      <c r="AG66" s="58">
        <f t="shared" si="27"/>
        <v>1630</v>
      </c>
      <c r="AI66" s="84">
        <f t="shared" si="28"/>
        <v>0</v>
      </c>
      <c r="AJ66" s="84">
        <f t="shared" si="29"/>
        <v>0</v>
      </c>
      <c r="AK66" s="84">
        <f t="shared" si="30"/>
        <v>0</v>
      </c>
      <c r="AL66" s="84">
        <f t="shared" si="31"/>
        <v>0</v>
      </c>
      <c r="AN66" s="84">
        <f t="shared" si="32"/>
        <v>0</v>
      </c>
      <c r="AO66" s="84">
        <f t="shared" si="33"/>
        <v>0</v>
      </c>
      <c r="AP66" s="84">
        <f t="shared" si="34"/>
        <v>0</v>
      </c>
      <c r="AQ66" s="84">
        <f t="shared" si="35"/>
        <v>0</v>
      </c>
    </row>
    <row r="67" spans="1:44" s="84" customFormat="1" x14ac:dyDescent="0.3">
      <c r="B67" s="84" t="s">
        <v>330</v>
      </c>
      <c r="C67" s="84" t="s">
        <v>65</v>
      </c>
      <c r="D67" s="85" t="s">
        <v>30</v>
      </c>
      <c r="E67" s="84">
        <f>IF(D67=$B$12,H67,0)</f>
        <v>0</v>
      </c>
      <c r="F67" s="84">
        <f>IF(E67&gt;0,0,1)</f>
        <v>1</v>
      </c>
      <c r="G67" s="84" t="s">
        <v>329</v>
      </c>
      <c r="H67" s="85">
        <v>10</v>
      </c>
      <c r="I67" s="85"/>
      <c r="J67" s="84" t="s">
        <v>365</v>
      </c>
      <c r="K67" s="84" t="s">
        <v>55</v>
      </c>
      <c r="L67" s="90">
        <v>0</v>
      </c>
      <c r="M67" s="96" t="s">
        <v>36</v>
      </c>
      <c r="O67" s="107">
        <v>1852</v>
      </c>
      <c r="P67" s="58">
        <f>ROUND((O67*0.4),0)</f>
        <v>741</v>
      </c>
      <c r="Q67" s="84">
        <f>IF(O67&gt;0,((O67+500)-P67)+T67,0)</f>
        <v>1703</v>
      </c>
      <c r="R67" s="57" t="s">
        <v>34</v>
      </c>
      <c r="S67" s="89">
        <v>4</v>
      </c>
      <c r="T67" s="89">
        <f>IF(U67=$AD$2,47,IF(U67=$AD$1,ROUND(((O67+500)*0.039),0),IF(U67=$AD$3,0)))</f>
        <v>92</v>
      </c>
      <c r="U67" s="87" t="str">
        <f>IF(V67=1,$AD$2,IF(V67=2,$AD$1,IF(AND(V67&lt;&gt;1,V67&lt;&gt;20)=TRUE,$AD$3)))</f>
        <v>PAYPAL</v>
      </c>
      <c r="V67" s="97">
        <v>2</v>
      </c>
      <c r="W67" s="109" t="s">
        <v>366</v>
      </c>
      <c r="X67" s="89">
        <f>Q67+P67</f>
        <v>2444</v>
      </c>
      <c r="Y67" s="89"/>
      <c r="Z67" s="58">
        <f>IF(W67=$Z$1,Q67-500,0)</f>
        <v>0</v>
      </c>
      <c r="AA67" s="58">
        <f>IF(H67&gt;0,130,0)</f>
        <v>130</v>
      </c>
      <c r="AB67" s="58"/>
      <c r="AC67" s="98">
        <f>(O67+T67)-AA67</f>
        <v>1814</v>
      </c>
      <c r="AD67" s="58"/>
      <c r="AE67" s="58">
        <f>IF(H67&gt;0,30*F67,0)</f>
        <v>30</v>
      </c>
      <c r="AF67" s="58">
        <f>IF(AG67&gt;0,AG35:AG67,0)</f>
        <v>1784</v>
      </c>
      <c r="AG67" s="58">
        <f t="shared" si="27"/>
        <v>1784</v>
      </c>
      <c r="AI67" s="84">
        <f t="shared" si="28"/>
        <v>0</v>
      </c>
      <c r="AJ67" s="84">
        <f t="shared" si="29"/>
        <v>0</v>
      </c>
      <c r="AK67" s="84">
        <f t="shared" si="30"/>
        <v>0</v>
      </c>
      <c r="AL67" s="84">
        <f t="shared" si="31"/>
        <v>1852</v>
      </c>
      <c r="AN67" s="84">
        <f t="shared" si="32"/>
        <v>0</v>
      </c>
      <c r="AO67" s="84">
        <f t="shared" si="33"/>
        <v>0</v>
      </c>
      <c r="AP67" s="84">
        <f t="shared" si="34"/>
        <v>0</v>
      </c>
      <c r="AQ67" s="84">
        <f t="shared" si="35"/>
        <v>1852</v>
      </c>
    </row>
    <row r="68" spans="1:44" s="84" customFormat="1" x14ac:dyDescent="0.3">
      <c r="B68" s="84" t="s">
        <v>280</v>
      </c>
      <c r="C68" s="84" t="s">
        <v>281</v>
      </c>
      <c r="D68" s="84" t="s">
        <v>30</v>
      </c>
      <c r="E68" s="84">
        <f t="shared" si="9"/>
        <v>0</v>
      </c>
      <c r="F68" s="84">
        <f t="shared" si="21"/>
        <v>1</v>
      </c>
      <c r="G68" s="84" t="s">
        <v>282</v>
      </c>
      <c r="H68" s="85">
        <v>8</v>
      </c>
      <c r="I68" s="85"/>
      <c r="J68" s="84" t="s">
        <v>40</v>
      </c>
      <c r="K68" s="84" t="s">
        <v>55</v>
      </c>
      <c r="L68" s="90">
        <v>0</v>
      </c>
      <c r="M68" s="96" t="s">
        <v>36</v>
      </c>
      <c r="O68" s="107">
        <v>1532</v>
      </c>
      <c r="P68" s="58">
        <f>ROUND((O68*0.4),0)</f>
        <v>613</v>
      </c>
      <c r="Q68" s="84">
        <f>IF(O68&gt;0,((O68+500)-P68)+T68,0)</f>
        <v>1498</v>
      </c>
      <c r="R68" s="57" t="s">
        <v>283</v>
      </c>
      <c r="S68" s="89">
        <v>4</v>
      </c>
      <c r="T68" s="89">
        <f>IF(U68=$AD$2,47,IF(U68=$AD$1,ROUND(((O68+500)*0.039),0),IF(U68=$AD$3,0)))</f>
        <v>79</v>
      </c>
      <c r="U68" s="87" t="str">
        <f t="shared" si="23"/>
        <v>PAYPAL</v>
      </c>
      <c r="V68" s="97">
        <v>2</v>
      </c>
      <c r="W68" s="109" t="s">
        <v>351</v>
      </c>
      <c r="X68" s="89">
        <f>Q68+P68</f>
        <v>2111</v>
      </c>
      <c r="Y68" s="89"/>
      <c r="Z68" s="58">
        <f t="shared" si="24"/>
        <v>0</v>
      </c>
      <c r="AA68" s="58">
        <f t="shared" si="36"/>
        <v>130</v>
      </c>
      <c r="AB68" s="58"/>
      <c r="AC68" s="98">
        <f>(O68+T68)-AA68</f>
        <v>1481</v>
      </c>
      <c r="AD68" s="58"/>
      <c r="AE68" s="58">
        <f t="shared" si="25"/>
        <v>30</v>
      </c>
      <c r="AF68" s="58">
        <f>IF(AG68&gt;0,AG50:AG68,0)</f>
        <v>1451</v>
      </c>
      <c r="AG68" s="58">
        <f t="shared" si="27"/>
        <v>1451</v>
      </c>
      <c r="AI68" s="84">
        <f t="shared" si="28"/>
        <v>0</v>
      </c>
      <c r="AJ68" s="84">
        <f t="shared" si="29"/>
        <v>0</v>
      </c>
      <c r="AK68" s="84">
        <f t="shared" si="30"/>
        <v>0</v>
      </c>
      <c r="AL68" s="84">
        <f t="shared" si="31"/>
        <v>1532</v>
      </c>
      <c r="AN68" s="84">
        <f t="shared" si="32"/>
        <v>0</v>
      </c>
      <c r="AO68" s="84">
        <f t="shared" si="33"/>
        <v>0</v>
      </c>
      <c r="AP68" s="84">
        <f t="shared" si="34"/>
        <v>0</v>
      </c>
      <c r="AQ68" s="84">
        <f t="shared" si="35"/>
        <v>1532</v>
      </c>
    </row>
    <row r="69" spans="1:44" s="84" customFormat="1" x14ac:dyDescent="0.3">
      <c r="B69" s="84" t="s">
        <v>277</v>
      </c>
      <c r="C69" s="84" t="s">
        <v>273</v>
      </c>
      <c r="D69" s="84" t="s">
        <v>180</v>
      </c>
      <c r="E69" s="84">
        <f t="shared" si="9"/>
        <v>0</v>
      </c>
      <c r="F69" s="84">
        <f t="shared" si="21"/>
        <v>1</v>
      </c>
      <c r="G69" s="84" t="s">
        <v>274</v>
      </c>
      <c r="H69" s="85">
        <v>6</v>
      </c>
      <c r="I69" s="85"/>
      <c r="J69" s="84" t="s">
        <v>275</v>
      </c>
      <c r="K69" s="84" t="s">
        <v>55</v>
      </c>
      <c r="L69" s="90">
        <v>0</v>
      </c>
      <c r="M69" s="96" t="s">
        <v>36</v>
      </c>
      <c r="O69" s="107">
        <v>1348</v>
      </c>
      <c r="P69" s="58">
        <f>ROUND((O69*0.4),0)</f>
        <v>539</v>
      </c>
      <c r="Q69" s="84">
        <f>IF(O69&gt;0,((O69+500)-P69)+T69,0)</f>
        <v>1381</v>
      </c>
      <c r="R69" s="57">
        <v>40841</v>
      </c>
      <c r="S69" s="89">
        <v>4</v>
      </c>
      <c r="T69" s="89">
        <f>IF(U69=$AD$2,47,IF(U69=$AD$1,ROUND(((O69+500)*0.039),0),IF(U69=$AD$3,0)))</f>
        <v>72</v>
      </c>
      <c r="U69" s="87" t="str">
        <f t="shared" si="23"/>
        <v>PAYPAL</v>
      </c>
      <c r="V69" s="97">
        <v>2</v>
      </c>
      <c r="W69" s="90" t="s">
        <v>351</v>
      </c>
      <c r="X69" s="89">
        <f>Q69+P69</f>
        <v>1920</v>
      </c>
      <c r="Y69" s="89"/>
      <c r="Z69" s="58">
        <f t="shared" si="24"/>
        <v>0</v>
      </c>
      <c r="AA69" s="58">
        <f t="shared" si="36"/>
        <v>130</v>
      </c>
      <c r="AB69" s="58"/>
      <c r="AC69" s="98">
        <f>(O69+T69)-AA69</f>
        <v>1290</v>
      </c>
      <c r="AD69" s="58"/>
      <c r="AE69" s="58">
        <f t="shared" si="25"/>
        <v>30</v>
      </c>
      <c r="AF69" s="58">
        <f>IF(AG69&gt;0,AG50:AG69,0)</f>
        <v>1260</v>
      </c>
      <c r="AG69" s="58">
        <f t="shared" si="27"/>
        <v>1260</v>
      </c>
      <c r="AI69" s="84">
        <f t="shared" si="28"/>
        <v>0</v>
      </c>
      <c r="AJ69" s="84">
        <f t="shared" si="29"/>
        <v>0</v>
      </c>
      <c r="AK69" s="84">
        <f t="shared" si="30"/>
        <v>0</v>
      </c>
      <c r="AL69" s="84">
        <f t="shared" si="31"/>
        <v>1348</v>
      </c>
      <c r="AN69" s="84">
        <f t="shared" si="32"/>
        <v>0</v>
      </c>
      <c r="AO69" s="84">
        <f t="shared" si="33"/>
        <v>0</v>
      </c>
      <c r="AP69" s="84">
        <f t="shared" si="34"/>
        <v>0</v>
      </c>
      <c r="AQ69" s="84">
        <f t="shared" si="35"/>
        <v>1348</v>
      </c>
    </row>
    <row r="70" spans="1:44" x14ac:dyDescent="0.3">
      <c r="B70" s="104" t="s">
        <v>82</v>
      </c>
      <c r="C70" s="8" t="s">
        <v>41</v>
      </c>
      <c r="D70" s="16" t="s">
        <v>42</v>
      </c>
      <c r="E70">
        <f t="shared" si="9"/>
        <v>5</v>
      </c>
      <c r="F70">
        <f t="shared" si="21"/>
        <v>0</v>
      </c>
      <c r="G70" t="s">
        <v>244</v>
      </c>
      <c r="H70" s="16">
        <v>5</v>
      </c>
      <c r="I70" s="16"/>
      <c r="J70" s="16" t="s">
        <v>63</v>
      </c>
      <c r="K70" t="s">
        <v>55</v>
      </c>
      <c r="L70" s="5">
        <v>3</v>
      </c>
      <c r="M70" s="4" t="s">
        <v>36</v>
      </c>
      <c r="O70" s="50">
        <v>0</v>
      </c>
      <c r="P70" s="1">
        <v>0</v>
      </c>
      <c r="Q70">
        <f t="shared" si="40"/>
        <v>0</v>
      </c>
      <c r="R70" s="6" t="s">
        <v>42</v>
      </c>
      <c r="S70" s="72"/>
      <c r="T70" s="72">
        <f t="shared" si="22"/>
        <v>0</v>
      </c>
      <c r="U70" s="7" t="str">
        <f t="shared" si="23"/>
        <v>NONE</v>
      </c>
      <c r="V70" s="68"/>
      <c r="W70" s="5"/>
      <c r="X70" s="1">
        <f t="shared" si="19"/>
        <v>0</v>
      </c>
      <c r="Y70" s="1"/>
      <c r="Z70" s="1">
        <f t="shared" si="24"/>
        <v>0</v>
      </c>
      <c r="AA70" s="1">
        <f t="shared" si="36"/>
        <v>130</v>
      </c>
      <c r="AB70" s="1"/>
      <c r="AC70">
        <f>O70-AA70</f>
        <v>-130</v>
      </c>
      <c r="AD70" s="1"/>
      <c r="AE70" s="1">
        <f t="shared" si="25"/>
        <v>0</v>
      </c>
      <c r="AF70" s="1">
        <f t="shared" si="26"/>
        <v>0</v>
      </c>
      <c r="AG70" s="1">
        <f t="shared" si="27"/>
        <v>-130</v>
      </c>
      <c r="AI70">
        <f t="shared" si="28"/>
        <v>0</v>
      </c>
      <c r="AJ70">
        <f t="shared" si="29"/>
        <v>0</v>
      </c>
      <c r="AK70">
        <f t="shared" si="30"/>
        <v>0</v>
      </c>
      <c r="AL70">
        <f t="shared" si="31"/>
        <v>0</v>
      </c>
      <c r="AN70">
        <f t="shared" si="32"/>
        <v>0</v>
      </c>
      <c r="AO70">
        <f t="shared" si="33"/>
        <v>0</v>
      </c>
      <c r="AP70">
        <f t="shared" si="34"/>
        <v>0</v>
      </c>
      <c r="AQ70">
        <f t="shared" si="35"/>
        <v>0</v>
      </c>
    </row>
    <row r="71" spans="1:44" x14ac:dyDescent="0.3">
      <c r="B71" s="16"/>
      <c r="C71" s="8"/>
      <c r="D71" s="16"/>
      <c r="E71">
        <f t="shared" si="9"/>
        <v>0</v>
      </c>
      <c r="F71">
        <f t="shared" si="21"/>
        <v>1</v>
      </c>
      <c r="G71" s="16"/>
      <c r="H71" s="16">
        <v>0</v>
      </c>
      <c r="I71" s="16"/>
      <c r="J71" s="16"/>
      <c r="M71" s="4"/>
      <c r="O71" s="50">
        <v>0</v>
      </c>
      <c r="P71" s="58">
        <f>ROUND((O71*0.4),0)</f>
        <v>0</v>
      </c>
      <c r="Q71" s="84">
        <f>IF(O71&gt;0,((O71+500)-P71)+T71,0)</f>
        <v>0</v>
      </c>
      <c r="R71" s="57"/>
      <c r="S71" s="89"/>
      <c r="T71" s="89">
        <f>IF(U71=$AD$2,47,IF(U71=$AD$1,ROUND(((O71+500)*0.039),0),IF(U71=$AD$3,0)))</f>
        <v>0</v>
      </c>
      <c r="U71" s="87" t="str">
        <f t="shared" si="23"/>
        <v>NONE</v>
      </c>
      <c r="V71" s="97"/>
      <c r="W71" s="90"/>
      <c r="X71" s="89">
        <f t="shared" si="19"/>
        <v>0</v>
      </c>
      <c r="Y71" s="72"/>
      <c r="Z71" s="1">
        <f t="shared" si="24"/>
        <v>0</v>
      </c>
      <c r="AA71" s="1">
        <f>IF(H71&gt;0,150,0)</f>
        <v>0</v>
      </c>
      <c r="AB71" s="1"/>
      <c r="AC71" s="76">
        <f>(O71+T71)-AA71</f>
        <v>0</v>
      </c>
      <c r="AD71" s="1"/>
      <c r="AE71" s="1">
        <f t="shared" si="25"/>
        <v>0</v>
      </c>
      <c r="AF71" s="1">
        <f t="shared" si="26"/>
        <v>0</v>
      </c>
      <c r="AG71" s="1">
        <f t="shared" si="27"/>
        <v>0</v>
      </c>
      <c r="AI71">
        <f t="shared" si="28"/>
        <v>0</v>
      </c>
      <c r="AJ71">
        <f t="shared" si="29"/>
        <v>0</v>
      </c>
      <c r="AK71">
        <f t="shared" si="30"/>
        <v>0</v>
      </c>
      <c r="AL71">
        <f t="shared" si="31"/>
        <v>0</v>
      </c>
      <c r="AN71">
        <f t="shared" si="32"/>
        <v>0</v>
      </c>
      <c r="AO71">
        <f t="shared" si="33"/>
        <v>0</v>
      </c>
      <c r="AP71">
        <f t="shared" si="34"/>
        <v>0</v>
      </c>
      <c r="AQ71">
        <f t="shared" si="35"/>
        <v>0</v>
      </c>
    </row>
    <row r="72" spans="1:44" x14ac:dyDescent="0.3">
      <c r="B72" s="16"/>
      <c r="C72" s="99"/>
      <c r="D72" s="16"/>
      <c r="E72">
        <f t="shared" si="9"/>
        <v>0</v>
      </c>
      <c r="F72">
        <f t="shared" si="21"/>
        <v>1</v>
      </c>
      <c r="G72" s="16"/>
      <c r="H72" s="16">
        <v>0</v>
      </c>
      <c r="I72" s="16"/>
      <c r="J72" s="16"/>
      <c r="M72" s="4"/>
      <c r="O72" s="50">
        <v>0</v>
      </c>
      <c r="P72" s="58">
        <f>ROUND((O72*0.4),0)</f>
        <v>0</v>
      </c>
      <c r="Q72" s="84">
        <f>IF(O72&gt;0,((O72+500)-P72)+T72,0)</f>
        <v>0</v>
      </c>
      <c r="R72" s="57"/>
      <c r="S72" s="89"/>
      <c r="T72" s="89">
        <f>IF(U72=$AD$2,47,IF(U72=$AD$1,ROUND(((O72+500)*0.039),0),IF(U72=$AD$3,0)))</f>
        <v>0</v>
      </c>
      <c r="U72" s="87" t="str">
        <f t="shared" si="23"/>
        <v>NONE</v>
      </c>
      <c r="V72" s="97"/>
      <c r="W72" s="90"/>
      <c r="X72" s="89">
        <f t="shared" si="19"/>
        <v>0</v>
      </c>
      <c r="Y72" s="72"/>
      <c r="Z72" s="1">
        <f t="shared" si="24"/>
        <v>0</v>
      </c>
      <c r="AA72" s="1">
        <f>IF(H72&gt;0,150,0)</f>
        <v>0</v>
      </c>
      <c r="AB72" s="1"/>
      <c r="AC72" s="76">
        <f>(O72+T72)-AA72</f>
        <v>0</v>
      </c>
      <c r="AD72" s="1"/>
      <c r="AE72" s="1">
        <f t="shared" si="25"/>
        <v>0</v>
      </c>
      <c r="AF72" s="1">
        <f t="shared" si="26"/>
        <v>0</v>
      </c>
      <c r="AG72" s="1">
        <f t="shared" si="27"/>
        <v>0</v>
      </c>
      <c r="AI72">
        <f t="shared" si="28"/>
        <v>0</v>
      </c>
      <c r="AJ72">
        <f t="shared" si="29"/>
        <v>0</v>
      </c>
      <c r="AK72">
        <f t="shared" si="30"/>
        <v>0</v>
      </c>
      <c r="AL72">
        <f t="shared" si="31"/>
        <v>0</v>
      </c>
      <c r="AN72">
        <f t="shared" si="32"/>
        <v>0</v>
      </c>
      <c r="AO72">
        <f t="shared" si="33"/>
        <v>0</v>
      </c>
      <c r="AP72">
        <f t="shared" si="34"/>
        <v>0</v>
      </c>
      <c r="AQ72">
        <f t="shared" si="35"/>
        <v>0</v>
      </c>
    </row>
    <row r="73" spans="1:44" x14ac:dyDescent="0.3">
      <c r="A73" s="45"/>
      <c r="B73" s="192">
        <f>COUNTIFS(D36:D72,"&lt;&gt;NA")-COUNTIFS(D36:D72,"="&amp;$D$1)</f>
        <v>24</v>
      </c>
      <c r="C73" s="174" t="s">
        <v>472</v>
      </c>
      <c r="D73" s="46">
        <f>SUM(E36:E72)</f>
        <v>92</v>
      </c>
      <c r="E73" s="46"/>
      <c r="F73" s="46"/>
      <c r="G73" s="63" t="s">
        <v>215</v>
      </c>
      <c r="H73" s="62">
        <f>SUM(H36:H72)-SUM(E36:E72)</f>
        <v>216</v>
      </c>
      <c r="I73" s="62"/>
      <c r="J73" s="61">
        <f>ROUND(H73/7,0)</f>
        <v>31</v>
      </c>
      <c r="K73" s="61" t="s">
        <v>214</v>
      </c>
      <c r="L73" s="63" t="s">
        <v>216</v>
      </c>
      <c r="M73" s="151">
        <f>ROUND(AF73/J73,0)</f>
        <v>1325</v>
      </c>
      <c r="N73" s="45"/>
      <c r="O73" s="82">
        <f>SUM(O36:O72)</f>
        <v>44521.279999999999</v>
      </c>
      <c r="P73" s="49"/>
      <c r="Q73" s="80">
        <f>Z73</f>
        <v>0</v>
      </c>
      <c r="R73" s="79" t="s">
        <v>254</v>
      </c>
      <c r="S73" s="126"/>
      <c r="T73" s="73"/>
      <c r="U73" s="48"/>
      <c r="V73" s="69"/>
      <c r="W73" s="47"/>
      <c r="X73" s="49"/>
      <c r="Y73" s="49">
        <f>Z73</f>
        <v>0</v>
      </c>
      <c r="Z73" s="49">
        <f>SUM(Z36:Z72)</f>
        <v>0</v>
      </c>
      <c r="AA73" s="49">
        <f>SUM(AA36:AA72)</f>
        <v>4460</v>
      </c>
      <c r="AB73" s="49">
        <f>AA73</f>
        <v>4460</v>
      </c>
      <c r="AC73" s="45"/>
      <c r="AD73" s="49"/>
      <c r="AE73" s="49">
        <f>SUM(AE36:AE72)</f>
        <v>720</v>
      </c>
      <c r="AF73" s="49">
        <f>SUM(AF36:AF72)</f>
        <v>41074.28</v>
      </c>
      <c r="AG73" s="82">
        <f>SUM(AG36:AG72)</f>
        <v>39734.28</v>
      </c>
      <c r="AH73" s="45">
        <f>AG73</f>
        <v>39734.28</v>
      </c>
      <c r="AI73" s="129">
        <f>SUM(AI36:AI72)</f>
        <v>7092</v>
      </c>
      <c r="AJ73" s="129">
        <f>SUM(AJ36:AJ72)</f>
        <v>13747.279999999999</v>
      </c>
      <c r="AK73" s="129">
        <f>SUM(AK36:AK72)</f>
        <v>11535</v>
      </c>
      <c r="AL73" s="129">
        <f>SUM(AL36:AL72)</f>
        <v>10357</v>
      </c>
      <c r="AM73" s="131">
        <f>SUM(AI73:AL73)</f>
        <v>42731.28</v>
      </c>
      <c r="AN73" s="129">
        <f>SUM(AN36:AN72)</f>
        <v>7092</v>
      </c>
      <c r="AO73" s="129">
        <f>SUM(AO36:AO72)</f>
        <v>13747.279999999999</v>
      </c>
      <c r="AP73" s="129">
        <f>SUM(AP36:AP72)</f>
        <v>11535</v>
      </c>
      <c r="AQ73" s="129">
        <f>SUM(AQ36:AQ72)</f>
        <v>10357</v>
      </c>
      <c r="AR73" s="131">
        <f>SUM(AN73:AQ73)</f>
        <v>42731.28</v>
      </c>
    </row>
    <row r="74" spans="1:44" ht="23.4" x14ac:dyDescent="0.45">
      <c r="A74" s="31"/>
      <c r="B74" s="28">
        <v>2012</v>
      </c>
      <c r="C74" s="29"/>
      <c r="D74" s="30"/>
      <c r="E74" s="30"/>
      <c r="F74" s="30"/>
      <c r="G74" s="30"/>
      <c r="H74" s="30"/>
      <c r="I74" s="30"/>
      <c r="J74" s="30"/>
      <c r="K74" s="31"/>
      <c r="L74" s="32"/>
      <c r="M74" s="33"/>
      <c r="N74" s="31"/>
      <c r="O74" s="34"/>
      <c r="P74" s="34"/>
      <c r="Q74" s="31"/>
      <c r="R74" s="35"/>
      <c r="S74" s="71"/>
      <c r="T74" s="71"/>
      <c r="U74" s="36"/>
      <c r="V74" s="70"/>
      <c r="W74" s="32"/>
      <c r="X74" s="34"/>
      <c r="Y74" s="34"/>
      <c r="Z74" s="34"/>
      <c r="AA74" s="34"/>
      <c r="AB74" s="34"/>
      <c r="AC74" s="31"/>
      <c r="AD74" s="34"/>
      <c r="AE74" s="34"/>
      <c r="AF74" s="34"/>
      <c r="AG74" s="34"/>
      <c r="AI74" s="119">
        <f>ROUNDUP(AI73*0.04,0)</f>
        <v>284</v>
      </c>
      <c r="AJ74" s="119">
        <f>ROUNDUP(AJ73*0.04,0)</f>
        <v>550</v>
      </c>
      <c r="AK74" s="119">
        <f>ROUNDUP(AK73*0.04,0)</f>
        <v>462</v>
      </c>
      <c r="AL74" s="119">
        <f>ROUNDUP(AL73*0.04,0)</f>
        <v>415</v>
      </c>
      <c r="AM74" s="131">
        <f>SUM(AI74:AL74)</f>
        <v>1711</v>
      </c>
      <c r="AN74" s="119">
        <f>ROUNDUP(AN73*0.06,0)</f>
        <v>426</v>
      </c>
      <c r="AO74" s="119">
        <f>ROUNDUP(AO73*0.06,0)</f>
        <v>825</v>
      </c>
      <c r="AP74" s="119">
        <f>ROUNDUP(AP73*0.06,0)</f>
        <v>693</v>
      </c>
      <c r="AQ74" s="119">
        <f>ROUNDUP(AQ73*0.06,0)</f>
        <v>622</v>
      </c>
      <c r="AR74" s="131">
        <f>SUM(AN74:AQ74)</f>
        <v>2566</v>
      </c>
    </row>
    <row r="75" spans="1:44" x14ac:dyDescent="0.3">
      <c r="B75" s="104" t="s">
        <v>82</v>
      </c>
      <c r="C75" s="8" t="s">
        <v>41</v>
      </c>
      <c r="D75" s="16" t="s">
        <v>42</v>
      </c>
      <c r="E75">
        <f>IF(D75=$B$12,H75,0)</f>
        <v>58</v>
      </c>
      <c r="F75">
        <f>IF(E75&gt;0,0,1)</f>
        <v>0</v>
      </c>
      <c r="G75" t="s">
        <v>245</v>
      </c>
      <c r="H75" s="16">
        <v>58</v>
      </c>
      <c r="I75" s="16"/>
      <c r="J75" t="s">
        <v>143</v>
      </c>
      <c r="K75" t="s">
        <v>55</v>
      </c>
      <c r="L75" s="5">
        <v>3</v>
      </c>
      <c r="M75" s="4" t="s">
        <v>36</v>
      </c>
      <c r="O75" s="50">
        <v>0</v>
      </c>
      <c r="P75" s="1">
        <v>0</v>
      </c>
      <c r="Q75">
        <f>IF(O75&gt;0,((O75+500)-P75),0)</f>
        <v>0</v>
      </c>
      <c r="R75" s="6" t="s">
        <v>42</v>
      </c>
      <c r="S75" s="72">
        <v>1</v>
      </c>
      <c r="T75" s="72">
        <f>IF(U75=$AD$2,47,IF(U75=$AD$1,ROUND(((Q75+P75)*0.039),0),IF(U75=$AD$3,0)))</f>
        <v>0</v>
      </c>
      <c r="U75" s="7" t="str">
        <f t="shared" ref="U75:U89" si="44">IF(V75=1,$AD$2,IF(V75=2,$AD$1,IF(AND(V75&lt;&gt;1,V75&lt;&gt;20)=TRUE,$AD$3)))</f>
        <v>NONE</v>
      </c>
      <c r="V75" s="68"/>
      <c r="W75" s="5"/>
      <c r="X75" s="1">
        <f>Q75+P75</f>
        <v>0</v>
      </c>
      <c r="Y75" s="1"/>
      <c r="Z75" s="1">
        <f t="shared" ref="Z75:Z89" si="45">IF(W75=$Z$1,Q75-500,0)</f>
        <v>0</v>
      </c>
      <c r="AA75" s="1">
        <f t="shared" ref="AA75:AA89" si="46">IF(H75&gt;0,130,0)</f>
        <v>130</v>
      </c>
      <c r="AB75" s="1"/>
      <c r="AC75">
        <f>O75-AA75</f>
        <v>-130</v>
      </c>
      <c r="AD75" s="1"/>
      <c r="AE75" s="1">
        <f t="shared" ref="AE75:AE89" si="47">IF(H75&gt;0,30*F75,0)</f>
        <v>0</v>
      </c>
      <c r="AF75" s="1">
        <f>IF(AG75&gt;0,AG75,0)</f>
        <v>0</v>
      </c>
      <c r="AG75" s="1">
        <f t="shared" ref="AG75:AG107" si="48">AC75-AE75</f>
        <v>-130</v>
      </c>
      <c r="AI75">
        <f t="shared" ref="AI75:AI107" si="49">IF(S75=1,O75,0)</f>
        <v>0</v>
      </c>
      <c r="AJ75">
        <f t="shared" ref="AJ75:AJ107" si="50">IF(S75=2,O75,0)</f>
        <v>0</v>
      </c>
      <c r="AK75">
        <f t="shared" ref="AK75:AK107" si="51">IF(S75=3,O75,0)</f>
        <v>0</v>
      </c>
      <c r="AL75">
        <f t="shared" ref="AL75:AL107" si="52">IF(S75=4,O75,0)</f>
        <v>0</v>
      </c>
      <c r="AN75">
        <f t="shared" ref="AN75:AN107" si="53">IF(S75=1,O75,0)</f>
        <v>0</v>
      </c>
      <c r="AO75">
        <f t="shared" ref="AO75:AO107" si="54">IF(S75=2,O75,0)</f>
        <v>0</v>
      </c>
      <c r="AP75">
        <f t="shared" ref="AP75:AP107" si="55">IF(S75=3,O75,0)</f>
        <v>0</v>
      </c>
      <c r="AQ75">
        <f t="shared" ref="AQ75:AQ107" si="56">IF(S75=4,O75,0)</f>
        <v>0</v>
      </c>
    </row>
    <row r="76" spans="1:44" s="84" customFormat="1" ht="16.5" customHeight="1" x14ac:dyDescent="0.3">
      <c r="B76" s="84" t="s">
        <v>321</v>
      </c>
      <c r="C76" t="s">
        <v>209</v>
      </c>
      <c r="D76" s="84" t="s">
        <v>30</v>
      </c>
      <c r="E76" s="84">
        <f>IF(D76=$B$12,H76,0)</f>
        <v>0</v>
      </c>
      <c r="F76" s="84">
        <f>IF(E76&gt;0,0,1)</f>
        <v>1</v>
      </c>
      <c r="G76" s="84" t="s">
        <v>210</v>
      </c>
      <c r="H76" s="85">
        <v>14</v>
      </c>
      <c r="I76" s="85"/>
      <c r="J76" s="84" t="s">
        <v>108</v>
      </c>
      <c r="K76" s="84" t="s">
        <v>55</v>
      </c>
      <c r="L76" s="90">
        <v>0</v>
      </c>
      <c r="M76" s="96" t="s">
        <v>36</v>
      </c>
      <c r="O76" s="50">
        <v>2751</v>
      </c>
      <c r="P76" s="58">
        <f t="shared" ref="P76:P82" si="57">ROUND((O76*0.4),0)</f>
        <v>1100</v>
      </c>
      <c r="Q76" s="84">
        <f>IF(O76&gt;0,((O76+500)-P76),0)</f>
        <v>2151</v>
      </c>
      <c r="R76" s="57" t="s">
        <v>211</v>
      </c>
      <c r="S76" s="72">
        <v>1</v>
      </c>
      <c r="T76" s="89">
        <f>IF(U76=$AD$2,47,IF(U76=$AD$1,ROUND(((Q76+P76)*0.039),0),IF(U76=$AD$3,0)))</f>
        <v>0</v>
      </c>
      <c r="U76" s="87" t="str">
        <f t="shared" si="44"/>
        <v>NONE</v>
      </c>
      <c r="V76" s="97"/>
      <c r="W76" s="90" t="s">
        <v>351</v>
      </c>
      <c r="X76" s="58">
        <f>Q76+P76</f>
        <v>3251</v>
      </c>
      <c r="Y76" s="58"/>
      <c r="Z76" s="58">
        <f t="shared" si="45"/>
        <v>0</v>
      </c>
      <c r="AA76" s="58">
        <f t="shared" si="46"/>
        <v>130</v>
      </c>
      <c r="AB76" s="58"/>
      <c r="AC76" s="84">
        <f>O76-AA76</f>
        <v>2621</v>
      </c>
      <c r="AD76" s="58"/>
      <c r="AE76" s="58">
        <f t="shared" si="47"/>
        <v>30</v>
      </c>
      <c r="AF76" s="58">
        <f>IF(AG76&gt;0,AG76,0)</f>
        <v>2591</v>
      </c>
      <c r="AG76" s="58">
        <f t="shared" si="48"/>
        <v>2591</v>
      </c>
      <c r="AI76">
        <f t="shared" si="49"/>
        <v>2751</v>
      </c>
      <c r="AJ76">
        <f t="shared" si="50"/>
        <v>0</v>
      </c>
      <c r="AK76">
        <f t="shared" si="51"/>
        <v>0</v>
      </c>
      <c r="AL76">
        <f t="shared" si="52"/>
        <v>0</v>
      </c>
      <c r="AM76"/>
      <c r="AN76">
        <f t="shared" si="53"/>
        <v>2751</v>
      </c>
      <c r="AO76">
        <f t="shared" si="54"/>
        <v>0</v>
      </c>
      <c r="AP76">
        <f t="shared" si="55"/>
        <v>0</v>
      </c>
      <c r="AQ76">
        <f t="shared" si="56"/>
        <v>0</v>
      </c>
    </row>
    <row r="77" spans="1:44" s="84" customFormat="1" x14ac:dyDescent="0.3">
      <c r="B77" s="121" t="s">
        <v>344</v>
      </c>
      <c r="C77" t="s">
        <v>345</v>
      </c>
      <c r="D77" s="85" t="s">
        <v>30</v>
      </c>
      <c r="E77" s="84">
        <f>IF(D77=$B$12,H77,0)</f>
        <v>0</v>
      </c>
      <c r="F77" s="84">
        <f>IF(E77&gt;0,0,1)</f>
        <v>1</v>
      </c>
      <c r="G77" s="85" t="s">
        <v>346</v>
      </c>
      <c r="H77" s="85">
        <v>14</v>
      </c>
      <c r="I77" s="85"/>
      <c r="J77" s="85" t="s">
        <v>347</v>
      </c>
      <c r="K77" s="84" t="s">
        <v>55</v>
      </c>
      <c r="L77" s="90">
        <v>0</v>
      </c>
      <c r="M77" s="96" t="s">
        <v>36</v>
      </c>
      <c r="O77" s="50">
        <v>3012</v>
      </c>
      <c r="P77" s="58">
        <f t="shared" si="57"/>
        <v>1205</v>
      </c>
      <c r="Q77" s="84">
        <f t="shared" ref="Q77:Q82" si="58">IF(O77&gt;0,((O77+500)-P77)+T77,0)</f>
        <v>2409</v>
      </c>
      <c r="R77" s="57" t="s">
        <v>348</v>
      </c>
      <c r="S77" s="72">
        <v>1</v>
      </c>
      <c r="T77" s="89">
        <f>IF(U77=$AD$2,47,IF(U77=$AD$1,ROUND(((O77+500)*0.029),0),IF(U77=$AD$3,0)))</f>
        <v>102</v>
      </c>
      <c r="U77" s="87" t="str">
        <f t="shared" si="44"/>
        <v>PAYPAL</v>
      </c>
      <c r="V77" s="97">
        <v>2</v>
      </c>
      <c r="W77" s="90" t="s">
        <v>388</v>
      </c>
      <c r="X77" s="89">
        <f>Q77+P77</f>
        <v>3614</v>
      </c>
      <c r="Y77" s="89"/>
      <c r="Z77" s="58">
        <f t="shared" si="45"/>
        <v>0</v>
      </c>
      <c r="AA77" s="58">
        <f t="shared" si="46"/>
        <v>130</v>
      </c>
      <c r="AB77" s="58"/>
      <c r="AC77" s="98">
        <f>(O77+T77)-AA77</f>
        <v>2984</v>
      </c>
      <c r="AD77" s="58"/>
      <c r="AE77" s="58">
        <f t="shared" si="47"/>
        <v>30</v>
      </c>
      <c r="AF77" s="58">
        <f>IF(AG77&gt;0,AG77,0)</f>
        <v>2954</v>
      </c>
      <c r="AG77" s="58">
        <f t="shared" si="48"/>
        <v>2954</v>
      </c>
      <c r="AI77">
        <f t="shared" si="49"/>
        <v>3012</v>
      </c>
      <c r="AJ77">
        <f t="shared" si="50"/>
        <v>0</v>
      </c>
      <c r="AK77">
        <f t="shared" si="51"/>
        <v>0</v>
      </c>
      <c r="AL77">
        <f t="shared" si="52"/>
        <v>0</v>
      </c>
      <c r="AM77"/>
      <c r="AN77">
        <f t="shared" si="53"/>
        <v>3012</v>
      </c>
      <c r="AO77">
        <f t="shared" si="54"/>
        <v>0</v>
      </c>
      <c r="AP77">
        <f t="shared" si="55"/>
        <v>0</v>
      </c>
      <c r="AQ77">
        <f t="shared" si="56"/>
        <v>0</v>
      </c>
    </row>
    <row r="78" spans="1:44" s="84" customFormat="1" x14ac:dyDescent="0.3">
      <c r="B78" s="85" t="s">
        <v>265</v>
      </c>
      <c r="C78" t="s">
        <v>266</v>
      </c>
      <c r="D78" s="85" t="s">
        <v>61</v>
      </c>
      <c r="E78" s="84">
        <f>IF(D78=$B$12,H78,0)</f>
        <v>0</v>
      </c>
      <c r="F78" s="84">
        <f>IF(E78&gt;0,0,1)</f>
        <v>1</v>
      </c>
      <c r="G78" s="84" t="s">
        <v>267</v>
      </c>
      <c r="H78" s="85">
        <v>7</v>
      </c>
      <c r="I78" s="85"/>
      <c r="J78" s="85" t="s">
        <v>201</v>
      </c>
      <c r="K78" s="84" t="s">
        <v>55</v>
      </c>
      <c r="L78" s="90">
        <v>0</v>
      </c>
      <c r="M78" s="96" t="s">
        <v>36</v>
      </c>
      <c r="O78" s="50">
        <v>1663</v>
      </c>
      <c r="P78" s="58">
        <f t="shared" si="57"/>
        <v>665</v>
      </c>
      <c r="Q78" s="84">
        <f t="shared" si="58"/>
        <v>1582</v>
      </c>
      <c r="R78" s="57" t="s">
        <v>268</v>
      </c>
      <c r="S78" s="72">
        <v>1</v>
      </c>
      <c r="T78" s="89">
        <f>IF(U78=$AD$2,47,IF(U78=$AD$1,ROUND(((O78+500)*0.039),0),IF(U78=$AD$3,0)))</f>
        <v>84</v>
      </c>
      <c r="U78" s="87" t="str">
        <f t="shared" si="44"/>
        <v>PAYPAL</v>
      </c>
      <c r="V78" s="97">
        <v>2</v>
      </c>
      <c r="W78" s="90" t="s">
        <v>351</v>
      </c>
      <c r="X78" s="58">
        <f>Q78+P78</f>
        <v>2247</v>
      </c>
      <c r="Y78" s="58"/>
      <c r="Z78" s="58">
        <f t="shared" si="45"/>
        <v>0</v>
      </c>
      <c r="AA78" s="58">
        <f t="shared" si="46"/>
        <v>130</v>
      </c>
      <c r="AB78" s="58"/>
      <c r="AC78" s="84">
        <f>O78-AA78</f>
        <v>1533</v>
      </c>
      <c r="AD78" s="58"/>
      <c r="AE78" s="58">
        <f t="shared" si="47"/>
        <v>30</v>
      </c>
      <c r="AF78" s="58">
        <f>IF(AG78&gt;0,AG78,0)</f>
        <v>1503</v>
      </c>
      <c r="AG78" s="58">
        <f t="shared" si="48"/>
        <v>1503</v>
      </c>
      <c r="AI78">
        <f t="shared" si="49"/>
        <v>1663</v>
      </c>
      <c r="AJ78">
        <f t="shared" si="50"/>
        <v>0</v>
      </c>
      <c r="AK78">
        <f t="shared" si="51"/>
        <v>0</v>
      </c>
      <c r="AL78">
        <f t="shared" si="52"/>
        <v>0</v>
      </c>
      <c r="AM78"/>
      <c r="AN78">
        <f t="shared" si="53"/>
        <v>1663</v>
      </c>
      <c r="AO78">
        <f t="shared" si="54"/>
        <v>0</v>
      </c>
      <c r="AP78">
        <f t="shared" si="55"/>
        <v>0</v>
      </c>
      <c r="AQ78">
        <f t="shared" si="56"/>
        <v>0</v>
      </c>
    </row>
    <row r="79" spans="1:44" s="84" customFormat="1" ht="15.6" x14ac:dyDescent="0.3">
      <c r="B79" s="100" t="s">
        <v>284</v>
      </c>
      <c r="C79" t="s">
        <v>276</v>
      </c>
      <c r="D79" s="85" t="s">
        <v>30</v>
      </c>
      <c r="E79" s="84">
        <f>IF(D79=$B$12,H79,0)</f>
        <v>0</v>
      </c>
      <c r="F79" s="84">
        <f>IF(E79&gt;0,0,1)</f>
        <v>1</v>
      </c>
      <c r="G79" s="84" t="s">
        <v>285</v>
      </c>
      <c r="H79" s="85">
        <v>6</v>
      </c>
      <c r="I79" s="85"/>
      <c r="J79" s="85" t="s">
        <v>143</v>
      </c>
      <c r="K79" s="84" t="s">
        <v>55</v>
      </c>
      <c r="L79" s="90">
        <v>0</v>
      </c>
      <c r="M79" s="96" t="s">
        <v>36</v>
      </c>
      <c r="O79" s="50">
        <v>1340</v>
      </c>
      <c r="P79" s="58">
        <f t="shared" si="57"/>
        <v>536</v>
      </c>
      <c r="Q79" s="84">
        <f t="shared" si="58"/>
        <v>1376</v>
      </c>
      <c r="R79" s="57" t="s">
        <v>286</v>
      </c>
      <c r="S79" s="89">
        <v>2</v>
      </c>
      <c r="T79" s="89">
        <f>IF(U79=$AD$2,47,IF(U79=$AD$1,ROUND(((O79+500)*0.039),0),IF(U79=$AD$3,0)))</f>
        <v>72</v>
      </c>
      <c r="U79" s="87" t="str">
        <f t="shared" si="44"/>
        <v>PAYPAL</v>
      </c>
      <c r="V79" s="97">
        <v>2</v>
      </c>
      <c r="W79" s="90" t="s">
        <v>351</v>
      </c>
      <c r="X79" s="89">
        <f>Q79+P79</f>
        <v>1912</v>
      </c>
      <c r="Y79" s="89"/>
      <c r="Z79" s="58">
        <f t="shared" si="45"/>
        <v>0</v>
      </c>
      <c r="AA79" s="58">
        <f t="shared" si="46"/>
        <v>130</v>
      </c>
      <c r="AB79" s="58"/>
      <c r="AC79" s="98">
        <f>(O79+T79)-AA79</f>
        <v>1282</v>
      </c>
      <c r="AD79" s="58"/>
      <c r="AE79" s="58">
        <f t="shared" si="47"/>
        <v>30</v>
      </c>
      <c r="AF79" s="58">
        <f>IF(AG79&gt;0,AG61:AG79,0)</f>
        <v>1252</v>
      </c>
      <c r="AG79" s="58">
        <f t="shared" si="48"/>
        <v>1252</v>
      </c>
      <c r="AI79">
        <f t="shared" si="49"/>
        <v>0</v>
      </c>
      <c r="AJ79">
        <f t="shared" si="50"/>
        <v>1340</v>
      </c>
      <c r="AK79">
        <f t="shared" si="51"/>
        <v>0</v>
      </c>
      <c r="AL79">
        <f t="shared" si="52"/>
        <v>0</v>
      </c>
      <c r="AM79"/>
      <c r="AN79">
        <f t="shared" si="53"/>
        <v>0</v>
      </c>
      <c r="AO79">
        <f t="shared" si="54"/>
        <v>1340</v>
      </c>
      <c r="AP79">
        <f t="shared" si="55"/>
        <v>0</v>
      </c>
      <c r="AQ79">
        <f t="shared" si="56"/>
        <v>0</v>
      </c>
    </row>
    <row r="80" spans="1:44" s="84" customFormat="1" x14ac:dyDescent="0.3">
      <c r="B80" s="103" t="s">
        <v>82</v>
      </c>
      <c r="C80" s="86" t="s">
        <v>278</v>
      </c>
      <c r="D80" s="84" t="s">
        <v>42</v>
      </c>
      <c r="G80" s="84" t="s">
        <v>315</v>
      </c>
      <c r="H80" s="85">
        <v>7</v>
      </c>
      <c r="I80" s="85"/>
      <c r="J80" s="84" t="s">
        <v>188</v>
      </c>
      <c r="K80" s="84" t="s">
        <v>55</v>
      </c>
      <c r="L80" s="90">
        <v>3</v>
      </c>
      <c r="M80" s="96" t="s">
        <v>36</v>
      </c>
      <c r="O80" s="50">
        <v>0</v>
      </c>
      <c r="P80" s="58">
        <f t="shared" si="57"/>
        <v>0</v>
      </c>
      <c r="Q80" s="84">
        <f t="shared" si="58"/>
        <v>0</v>
      </c>
      <c r="S80" s="89">
        <v>2</v>
      </c>
      <c r="T80" s="89">
        <v>0</v>
      </c>
      <c r="U80" s="87" t="str">
        <f t="shared" si="44"/>
        <v>NONE</v>
      </c>
      <c r="V80" s="97"/>
      <c r="W80" s="90"/>
      <c r="X80" s="89">
        <f t="shared" ref="X80:X86" si="59">Q80+P80</f>
        <v>0</v>
      </c>
      <c r="Y80" s="89"/>
      <c r="Z80" s="58">
        <f t="shared" si="45"/>
        <v>0</v>
      </c>
      <c r="AA80" s="58">
        <f t="shared" si="46"/>
        <v>130</v>
      </c>
      <c r="AB80" s="58"/>
      <c r="AC80" s="98">
        <f>(O80+T80)-AA80</f>
        <v>-130</v>
      </c>
      <c r="AD80" s="58"/>
      <c r="AE80" s="58">
        <f t="shared" si="47"/>
        <v>0</v>
      </c>
      <c r="AF80" s="58">
        <f>IF(AG80&gt;0,AG63:AG80,0)</f>
        <v>0</v>
      </c>
      <c r="AG80" s="58">
        <f t="shared" si="48"/>
        <v>-130</v>
      </c>
      <c r="AI80">
        <f t="shared" si="49"/>
        <v>0</v>
      </c>
      <c r="AJ80">
        <f t="shared" si="50"/>
        <v>0</v>
      </c>
      <c r="AK80">
        <f t="shared" si="51"/>
        <v>0</v>
      </c>
      <c r="AL80">
        <f t="shared" si="52"/>
        <v>0</v>
      </c>
      <c r="AM80"/>
      <c r="AN80">
        <f t="shared" si="53"/>
        <v>0</v>
      </c>
      <c r="AO80">
        <f t="shared" si="54"/>
        <v>0</v>
      </c>
      <c r="AP80">
        <f t="shared" si="55"/>
        <v>0</v>
      </c>
      <c r="AQ80">
        <f t="shared" si="56"/>
        <v>0</v>
      </c>
    </row>
    <row r="81" spans="2:43" s="84" customFormat="1" x14ac:dyDescent="0.3">
      <c r="B81" s="86" t="s">
        <v>385</v>
      </c>
      <c r="C81" t="s">
        <v>69</v>
      </c>
      <c r="D81" s="84" t="s">
        <v>30</v>
      </c>
      <c r="E81" s="84">
        <f t="shared" ref="E81:E89" si="60">IF(D81=$B$12,H81,0)</f>
        <v>0</v>
      </c>
      <c r="F81" s="84">
        <f t="shared" ref="F81:F89" si="61">IF(E81&gt;0,0,1)</f>
        <v>1</v>
      </c>
      <c r="G81" s="84" t="s">
        <v>299</v>
      </c>
      <c r="H81" s="85">
        <v>14</v>
      </c>
      <c r="I81" s="85"/>
      <c r="J81" s="84" t="s">
        <v>300</v>
      </c>
      <c r="K81" s="84" t="s">
        <v>55</v>
      </c>
      <c r="L81" s="90">
        <v>0</v>
      </c>
      <c r="M81" s="96" t="s">
        <v>36</v>
      </c>
      <c r="O81" s="107">
        <v>2541</v>
      </c>
      <c r="P81" s="58">
        <f t="shared" si="57"/>
        <v>1016</v>
      </c>
      <c r="Q81" s="84">
        <f t="shared" si="58"/>
        <v>2025</v>
      </c>
      <c r="R81" s="57" t="s">
        <v>301</v>
      </c>
      <c r="S81" s="89">
        <v>2</v>
      </c>
      <c r="T81" s="89">
        <v>0</v>
      </c>
      <c r="U81" s="87" t="str">
        <f t="shared" si="44"/>
        <v>BANK</v>
      </c>
      <c r="V81" s="97">
        <v>1</v>
      </c>
      <c r="W81" s="90" t="s">
        <v>25</v>
      </c>
      <c r="X81" s="89">
        <f t="shared" si="59"/>
        <v>3041</v>
      </c>
      <c r="Y81" s="89"/>
      <c r="Z81" s="58">
        <f t="shared" si="45"/>
        <v>0</v>
      </c>
      <c r="AA81" s="58">
        <f t="shared" si="46"/>
        <v>130</v>
      </c>
      <c r="AB81" s="58"/>
      <c r="AC81" s="98">
        <f>(O81+T81)-AA81</f>
        <v>2411</v>
      </c>
      <c r="AD81" s="58"/>
      <c r="AE81" s="58">
        <f t="shared" si="47"/>
        <v>30</v>
      </c>
      <c r="AF81" s="58">
        <f>IF(AG81&gt;0,AG65:AG81,0)</f>
        <v>2381</v>
      </c>
      <c r="AG81" s="58">
        <f t="shared" si="48"/>
        <v>2381</v>
      </c>
      <c r="AI81">
        <f t="shared" si="49"/>
        <v>0</v>
      </c>
      <c r="AJ81">
        <f t="shared" si="50"/>
        <v>2541</v>
      </c>
      <c r="AK81">
        <f t="shared" si="51"/>
        <v>0</v>
      </c>
      <c r="AL81">
        <f t="shared" si="52"/>
        <v>0</v>
      </c>
      <c r="AM81"/>
      <c r="AN81">
        <f t="shared" si="53"/>
        <v>0</v>
      </c>
      <c r="AO81">
        <f t="shared" si="54"/>
        <v>2541</v>
      </c>
      <c r="AP81">
        <f t="shared" si="55"/>
        <v>0</v>
      </c>
      <c r="AQ81">
        <f t="shared" si="56"/>
        <v>0</v>
      </c>
    </row>
    <row r="82" spans="2:43" s="84" customFormat="1" x14ac:dyDescent="0.3">
      <c r="B82" s="84" t="s">
        <v>298</v>
      </c>
      <c r="C82" t="s">
        <v>296</v>
      </c>
      <c r="D82" s="84" t="s">
        <v>30</v>
      </c>
      <c r="E82" s="84">
        <f t="shared" si="60"/>
        <v>0</v>
      </c>
      <c r="F82" s="84">
        <f t="shared" si="61"/>
        <v>1</v>
      </c>
      <c r="G82" s="84" t="s">
        <v>402</v>
      </c>
      <c r="H82" s="85">
        <v>14</v>
      </c>
      <c r="I82" s="85"/>
      <c r="J82" s="84" t="s">
        <v>201</v>
      </c>
      <c r="K82" s="84" t="s">
        <v>55</v>
      </c>
      <c r="L82" s="90">
        <v>0</v>
      </c>
      <c r="M82" s="96" t="s">
        <v>36</v>
      </c>
      <c r="O82" s="107">
        <v>3135</v>
      </c>
      <c r="P82" s="58">
        <f t="shared" si="57"/>
        <v>1254</v>
      </c>
      <c r="Q82" s="84">
        <f t="shared" si="58"/>
        <v>2523</v>
      </c>
      <c r="R82" s="57" t="s">
        <v>297</v>
      </c>
      <c r="S82" s="89">
        <v>2</v>
      </c>
      <c r="T82" s="89">
        <f>IF(U82=$AD$2,47,IF(U82=$AD$1,ROUND(((O82+500)*0.039),0),IF(U82=$AD$3,0)))</f>
        <v>142</v>
      </c>
      <c r="U82" s="87" t="str">
        <f t="shared" si="44"/>
        <v>PAYPAL</v>
      </c>
      <c r="V82" s="97">
        <v>2</v>
      </c>
      <c r="W82" s="90" t="s">
        <v>351</v>
      </c>
      <c r="X82" s="89">
        <f t="shared" si="59"/>
        <v>3777</v>
      </c>
      <c r="Y82" s="89"/>
      <c r="Z82" s="58">
        <f t="shared" si="45"/>
        <v>0</v>
      </c>
      <c r="AA82" s="58">
        <f t="shared" si="46"/>
        <v>130</v>
      </c>
      <c r="AB82" s="58"/>
      <c r="AC82" s="98">
        <f>(O82+T82)-AA82</f>
        <v>3147</v>
      </c>
      <c r="AD82" s="58"/>
      <c r="AE82" s="58">
        <f t="shared" si="47"/>
        <v>30</v>
      </c>
      <c r="AF82" s="58">
        <f>IF(AG82&gt;0,AG65:AG82,0)</f>
        <v>3117</v>
      </c>
      <c r="AG82" s="58">
        <f t="shared" si="48"/>
        <v>3117</v>
      </c>
      <c r="AI82">
        <f t="shared" si="49"/>
        <v>0</v>
      </c>
      <c r="AJ82">
        <f t="shared" si="50"/>
        <v>3135</v>
      </c>
      <c r="AK82">
        <f t="shared" si="51"/>
        <v>0</v>
      </c>
      <c r="AL82">
        <f t="shared" si="52"/>
        <v>0</v>
      </c>
      <c r="AM82"/>
      <c r="AN82">
        <f t="shared" si="53"/>
        <v>0</v>
      </c>
      <c r="AO82">
        <f t="shared" si="54"/>
        <v>3135</v>
      </c>
      <c r="AP82">
        <f t="shared" si="55"/>
        <v>0</v>
      </c>
      <c r="AQ82">
        <f t="shared" si="56"/>
        <v>0</v>
      </c>
    </row>
    <row r="83" spans="2:43" s="84" customFormat="1" x14ac:dyDescent="0.3">
      <c r="B83" s="108" t="s">
        <v>82</v>
      </c>
      <c r="C83" s="84" t="s">
        <v>42</v>
      </c>
      <c r="D83" s="84" t="s">
        <v>42</v>
      </c>
      <c r="E83" s="84">
        <f t="shared" si="60"/>
        <v>3</v>
      </c>
      <c r="F83" s="84">
        <f t="shared" si="61"/>
        <v>0</v>
      </c>
      <c r="G83" s="84" t="s">
        <v>395</v>
      </c>
      <c r="H83" s="85">
        <v>3</v>
      </c>
      <c r="I83" s="85"/>
      <c r="J83" s="84" t="s">
        <v>63</v>
      </c>
      <c r="K83" s="84" t="s">
        <v>55</v>
      </c>
      <c r="L83" s="90">
        <v>0</v>
      </c>
      <c r="M83" s="96" t="s">
        <v>36</v>
      </c>
      <c r="O83" s="107">
        <v>0</v>
      </c>
      <c r="P83" s="58">
        <f>ROUND((O83*0.4),0)</f>
        <v>0</v>
      </c>
      <c r="Q83" s="84">
        <f>IF(O83&gt;0,((O83+500)-P83)+T83,0)</f>
        <v>0</v>
      </c>
      <c r="R83" s="57"/>
      <c r="S83" s="89">
        <v>2</v>
      </c>
      <c r="T83" s="89">
        <f>IF(U83=$AD$2,47,IF(U83=$AD$1,ROUND(((O83+500)*0.039),0),IF(U83=$AD$3,0)))</f>
        <v>0</v>
      </c>
      <c r="U83" s="87" t="str">
        <f t="shared" si="44"/>
        <v>NONE</v>
      </c>
      <c r="V83" s="97"/>
      <c r="W83" s="90"/>
      <c r="X83" s="89">
        <f>Q83+P83</f>
        <v>0</v>
      </c>
      <c r="Y83" s="89"/>
      <c r="Z83" s="58">
        <f t="shared" si="45"/>
        <v>0</v>
      </c>
      <c r="AA83" s="58">
        <f t="shared" si="46"/>
        <v>130</v>
      </c>
      <c r="AB83" s="58"/>
      <c r="AC83" s="98">
        <f>(O83+T83)-AA83</f>
        <v>-130</v>
      </c>
      <c r="AD83" s="58"/>
      <c r="AE83" s="58">
        <f t="shared" si="47"/>
        <v>0</v>
      </c>
      <c r="AF83" s="58">
        <f>IF(AG83&gt;0,AG49:AG83,0)</f>
        <v>0</v>
      </c>
      <c r="AG83" s="58">
        <f t="shared" si="48"/>
        <v>-130</v>
      </c>
      <c r="AI83" s="84">
        <f t="shared" si="49"/>
        <v>0</v>
      </c>
      <c r="AJ83" s="84">
        <f t="shared" si="50"/>
        <v>0</v>
      </c>
      <c r="AK83" s="84">
        <f t="shared" si="51"/>
        <v>0</v>
      </c>
      <c r="AL83" s="84">
        <f t="shared" si="52"/>
        <v>0</v>
      </c>
      <c r="AN83" s="84">
        <f t="shared" si="53"/>
        <v>0</v>
      </c>
      <c r="AO83" s="84">
        <f t="shared" si="54"/>
        <v>0</v>
      </c>
      <c r="AP83" s="84">
        <f t="shared" si="55"/>
        <v>0</v>
      </c>
      <c r="AQ83" s="84">
        <f t="shared" si="56"/>
        <v>0</v>
      </c>
    </row>
    <row r="84" spans="2:43" x14ac:dyDescent="0.3">
      <c r="B84" t="s">
        <v>384</v>
      </c>
      <c r="C84" t="s">
        <v>60</v>
      </c>
      <c r="D84" s="16" t="s">
        <v>61</v>
      </c>
      <c r="E84">
        <f t="shared" si="60"/>
        <v>0</v>
      </c>
      <c r="F84">
        <f t="shared" si="61"/>
        <v>1</v>
      </c>
      <c r="G84" t="s">
        <v>189</v>
      </c>
      <c r="H84" s="16">
        <v>15</v>
      </c>
      <c r="I84" s="16"/>
      <c r="J84" t="s">
        <v>251</v>
      </c>
      <c r="K84" t="s">
        <v>55</v>
      </c>
      <c r="L84" s="5">
        <v>3</v>
      </c>
      <c r="M84" s="4" t="s">
        <v>36</v>
      </c>
      <c r="O84" s="107">
        <v>2929</v>
      </c>
      <c r="P84" s="1">
        <v>500</v>
      </c>
      <c r="Q84" s="84">
        <v>1757</v>
      </c>
      <c r="R84" s="57" t="s">
        <v>250</v>
      </c>
      <c r="S84" s="89">
        <v>2</v>
      </c>
      <c r="T84" s="72">
        <f>IF(U84=$AD$2,47,IF(U84=$AD$1,ROUND(((Q84+P84)*0.039),0),IF(U84=$AD$3,0)))</f>
        <v>47</v>
      </c>
      <c r="U84" s="7" t="str">
        <f t="shared" si="44"/>
        <v>BANK</v>
      </c>
      <c r="V84" s="68">
        <v>1</v>
      </c>
      <c r="W84" s="90" t="s">
        <v>162</v>
      </c>
      <c r="X84" s="1">
        <f t="shared" si="59"/>
        <v>2257</v>
      </c>
      <c r="Y84" s="1"/>
      <c r="Z84" s="1">
        <f t="shared" si="45"/>
        <v>0</v>
      </c>
      <c r="AA84" s="1">
        <f t="shared" si="46"/>
        <v>130</v>
      </c>
      <c r="AB84" s="1"/>
      <c r="AC84">
        <f>O84-AA84</f>
        <v>2799</v>
      </c>
      <c r="AD84" s="1"/>
      <c r="AE84" s="1">
        <f t="shared" si="47"/>
        <v>30</v>
      </c>
      <c r="AF84" s="1">
        <f>IF(AG84&gt;0,AG84,0)</f>
        <v>2769</v>
      </c>
      <c r="AG84" s="1">
        <f t="shared" si="48"/>
        <v>2769</v>
      </c>
      <c r="AI84">
        <f t="shared" si="49"/>
        <v>0</v>
      </c>
      <c r="AJ84">
        <f t="shared" si="50"/>
        <v>2929</v>
      </c>
      <c r="AK84">
        <f t="shared" si="51"/>
        <v>0</v>
      </c>
      <c r="AL84">
        <f t="shared" si="52"/>
        <v>0</v>
      </c>
      <c r="AN84">
        <f t="shared" si="53"/>
        <v>0</v>
      </c>
      <c r="AO84">
        <f t="shared" si="54"/>
        <v>2929</v>
      </c>
      <c r="AP84">
        <f t="shared" si="55"/>
        <v>0</v>
      </c>
      <c r="AQ84">
        <f t="shared" si="56"/>
        <v>0</v>
      </c>
    </row>
    <row r="85" spans="2:43" s="84" customFormat="1" x14ac:dyDescent="0.3">
      <c r="B85" t="s">
        <v>374</v>
      </c>
      <c r="C85" t="s">
        <v>205</v>
      </c>
      <c r="D85" s="85" t="s">
        <v>30</v>
      </c>
      <c r="E85" s="84">
        <f t="shared" si="60"/>
        <v>0</v>
      </c>
      <c r="F85" s="84">
        <f t="shared" si="61"/>
        <v>1</v>
      </c>
      <c r="G85" s="84" t="s">
        <v>373</v>
      </c>
      <c r="H85" s="85">
        <v>8</v>
      </c>
      <c r="I85" s="85"/>
      <c r="J85" s="84" t="s">
        <v>386</v>
      </c>
      <c r="K85" s="84" t="s">
        <v>55</v>
      </c>
      <c r="L85" s="90">
        <v>0</v>
      </c>
      <c r="M85" s="4" t="s">
        <v>36</v>
      </c>
      <c r="O85" s="107">
        <v>1348</v>
      </c>
      <c r="P85" s="58">
        <f t="shared" ref="P85:P94" si="62">ROUND((O85*0.4),0)</f>
        <v>539</v>
      </c>
      <c r="Q85" s="84">
        <f t="shared" ref="Q85:Q90" si="63">IF(O85&gt;0,((O85+500)-P85)+T85,0)</f>
        <v>1381</v>
      </c>
      <c r="R85" s="57" t="s">
        <v>302</v>
      </c>
      <c r="S85" s="89">
        <v>2</v>
      </c>
      <c r="T85" s="89">
        <f>IF(U85=$AD$2,47,IF(U85=$AD$1,ROUND(((O85+500)*0.039),0),IF(U85=$AD$3,0)))</f>
        <v>72</v>
      </c>
      <c r="U85" s="87" t="str">
        <f t="shared" si="44"/>
        <v>PAYPAL</v>
      </c>
      <c r="V85" s="97">
        <v>2</v>
      </c>
      <c r="W85" s="90" t="s">
        <v>417</v>
      </c>
      <c r="X85" s="89">
        <f t="shared" si="59"/>
        <v>1920</v>
      </c>
      <c r="Y85" s="89"/>
      <c r="Z85" s="58">
        <f t="shared" si="45"/>
        <v>0</v>
      </c>
      <c r="AA85" s="58">
        <f t="shared" si="46"/>
        <v>130</v>
      </c>
      <c r="AB85" s="58"/>
      <c r="AC85" s="98">
        <f>(O85+T85)-AA85</f>
        <v>1290</v>
      </c>
      <c r="AD85" s="58"/>
      <c r="AE85" s="58">
        <f t="shared" si="47"/>
        <v>30</v>
      </c>
      <c r="AF85" s="58">
        <f>IF(AG85&gt;0,AG69:AG85,0)</f>
        <v>1260</v>
      </c>
      <c r="AG85" s="58">
        <f t="shared" si="48"/>
        <v>1260</v>
      </c>
      <c r="AI85">
        <f t="shared" si="49"/>
        <v>0</v>
      </c>
      <c r="AJ85">
        <f t="shared" si="50"/>
        <v>1348</v>
      </c>
      <c r="AK85">
        <f t="shared" si="51"/>
        <v>0</v>
      </c>
      <c r="AL85">
        <f t="shared" si="52"/>
        <v>0</v>
      </c>
      <c r="AM85"/>
      <c r="AN85">
        <f t="shared" si="53"/>
        <v>0</v>
      </c>
      <c r="AO85">
        <f t="shared" si="54"/>
        <v>1348</v>
      </c>
      <c r="AP85">
        <f t="shared" si="55"/>
        <v>0</v>
      </c>
      <c r="AQ85">
        <f t="shared" si="56"/>
        <v>0</v>
      </c>
    </row>
    <row r="86" spans="2:43" s="84" customFormat="1" x14ac:dyDescent="0.3">
      <c r="B86" s="84" t="s">
        <v>360</v>
      </c>
      <c r="C86" s="84" t="s">
        <v>338</v>
      </c>
      <c r="D86" s="85" t="s">
        <v>30</v>
      </c>
      <c r="E86" s="84">
        <f t="shared" si="60"/>
        <v>0</v>
      </c>
      <c r="F86" s="84">
        <f t="shared" si="61"/>
        <v>1</v>
      </c>
      <c r="G86" s="84" t="s">
        <v>418</v>
      </c>
      <c r="H86" s="85">
        <v>7</v>
      </c>
      <c r="I86" s="85"/>
      <c r="J86" s="85" t="s">
        <v>336</v>
      </c>
      <c r="K86" s="84" t="s">
        <v>55</v>
      </c>
      <c r="L86" s="90">
        <v>0</v>
      </c>
      <c r="M86" s="96" t="s">
        <v>36</v>
      </c>
      <c r="O86" s="107">
        <v>1498</v>
      </c>
      <c r="P86" s="58">
        <f t="shared" si="62"/>
        <v>599</v>
      </c>
      <c r="Q86" s="84">
        <f t="shared" si="63"/>
        <v>1477</v>
      </c>
      <c r="R86" s="57" t="s">
        <v>337</v>
      </c>
      <c r="S86" s="89">
        <v>2</v>
      </c>
      <c r="T86" s="89">
        <f>IF(U86=$AD$2,47,IF(U86=$AD$1,ROUND(((O86+500)*0.039),0),IF(U86=$AD$3,0)))</f>
        <v>78</v>
      </c>
      <c r="U86" s="87" t="str">
        <f t="shared" si="44"/>
        <v>PAYPAL</v>
      </c>
      <c r="V86" s="97">
        <v>2</v>
      </c>
      <c r="W86" s="90" t="s">
        <v>260</v>
      </c>
      <c r="X86" s="89">
        <f t="shared" si="59"/>
        <v>2076</v>
      </c>
      <c r="Y86" s="89"/>
      <c r="Z86" s="58">
        <f t="shared" si="45"/>
        <v>0</v>
      </c>
      <c r="AA86" s="58">
        <f t="shared" si="46"/>
        <v>130</v>
      </c>
      <c r="AB86" s="58"/>
      <c r="AC86" s="98">
        <f>(O86+T86)-AA86</f>
        <v>1446</v>
      </c>
      <c r="AD86" s="58"/>
      <c r="AE86" s="58">
        <f t="shared" si="47"/>
        <v>30</v>
      </c>
      <c r="AF86" s="58">
        <f>IF(AG86&gt;0,AG54:AG86,0)</f>
        <v>1416</v>
      </c>
      <c r="AG86" s="58">
        <f t="shared" si="48"/>
        <v>1416</v>
      </c>
      <c r="AI86">
        <f t="shared" si="49"/>
        <v>0</v>
      </c>
      <c r="AJ86">
        <f t="shared" si="50"/>
        <v>1498</v>
      </c>
      <c r="AK86">
        <f t="shared" si="51"/>
        <v>0</v>
      </c>
      <c r="AL86">
        <f t="shared" si="52"/>
        <v>0</v>
      </c>
      <c r="AM86"/>
      <c r="AN86">
        <f t="shared" si="53"/>
        <v>0</v>
      </c>
      <c r="AO86">
        <f t="shared" si="54"/>
        <v>1498</v>
      </c>
      <c r="AP86">
        <f t="shared" si="55"/>
        <v>0</v>
      </c>
      <c r="AQ86">
        <f t="shared" si="56"/>
        <v>0</v>
      </c>
    </row>
    <row r="87" spans="2:43" x14ac:dyDescent="0.3">
      <c r="B87" s="16" t="s">
        <v>368</v>
      </c>
      <c r="C87" t="s">
        <v>369</v>
      </c>
      <c r="D87" s="84" t="s">
        <v>370</v>
      </c>
      <c r="E87" s="84">
        <f t="shared" si="60"/>
        <v>0</v>
      </c>
      <c r="F87" s="84">
        <f t="shared" si="61"/>
        <v>1</v>
      </c>
      <c r="G87" s="85" t="s">
        <v>371</v>
      </c>
      <c r="H87" s="85">
        <v>7</v>
      </c>
      <c r="I87" s="85"/>
      <c r="J87" s="85" t="s">
        <v>35</v>
      </c>
      <c r="K87" s="84" t="s">
        <v>55</v>
      </c>
      <c r="L87" s="90">
        <v>0</v>
      </c>
      <c r="M87" s="96" t="s">
        <v>36</v>
      </c>
      <c r="N87" s="84"/>
      <c r="O87" s="107">
        <v>1681</v>
      </c>
      <c r="P87" s="58">
        <f t="shared" si="62"/>
        <v>672</v>
      </c>
      <c r="Q87" s="84">
        <f t="shared" si="63"/>
        <v>1594</v>
      </c>
      <c r="R87" s="57" t="s">
        <v>372</v>
      </c>
      <c r="S87" s="89">
        <v>3</v>
      </c>
      <c r="T87" s="89">
        <f>IF(U87=$AD$2,47,IF(U87=$AD$1,ROUND(((O87+500)*0.039),0),IF(U87=$AD$3,0)))</f>
        <v>85</v>
      </c>
      <c r="U87" s="87" t="str">
        <f t="shared" si="44"/>
        <v>PAYPAL</v>
      </c>
      <c r="V87" s="97">
        <v>2</v>
      </c>
      <c r="W87" s="90" t="s">
        <v>422</v>
      </c>
      <c r="X87" s="89">
        <f>Q87+P87</f>
        <v>2266</v>
      </c>
      <c r="Y87" s="89"/>
      <c r="Z87" s="58">
        <f t="shared" si="45"/>
        <v>0</v>
      </c>
      <c r="AA87" s="58">
        <f t="shared" si="46"/>
        <v>130</v>
      </c>
      <c r="AB87" s="58"/>
      <c r="AC87" s="98">
        <f>(O87+T87)-AA87</f>
        <v>1636</v>
      </c>
      <c r="AD87" s="58"/>
      <c r="AE87" s="58">
        <f t="shared" si="47"/>
        <v>30</v>
      </c>
      <c r="AF87" s="58">
        <f>IF(AG87&gt;0,AG53:AG87,0)</f>
        <v>1606</v>
      </c>
      <c r="AG87" s="58">
        <f t="shared" si="48"/>
        <v>1606</v>
      </c>
      <c r="AI87">
        <f t="shared" si="49"/>
        <v>0</v>
      </c>
      <c r="AJ87">
        <f t="shared" si="50"/>
        <v>0</v>
      </c>
      <c r="AK87">
        <f t="shared" si="51"/>
        <v>1681</v>
      </c>
      <c r="AL87">
        <f t="shared" si="52"/>
        <v>0</v>
      </c>
      <c r="AN87">
        <f t="shared" si="53"/>
        <v>0</v>
      </c>
      <c r="AO87">
        <f t="shared" si="54"/>
        <v>0</v>
      </c>
      <c r="AP87">
        <f t="shared" si="55"/>
        <v>1681</v>
      </c>
      <c r="AQ87">
        <f t="shared" si="56"/>
        <v>0</v>
      </c>
    </row>
    <row r="88" spans="2:43" x14ac:dyDescent="0.3">
      <c r="B88" s="103" t="s">
        <v>82</v>
      </c>
      <c r="C88" s="86" t="s">
        <v>278</v>
      </c>
      <c r="D88" s="84" t="s">
        <v>42</v>
      </c>
      <c r="E88" s="84">
        <f t="shared" si="60"/>
        <v>14</v>
      </c>
      <c r="F88" s="84">
        <f t="shared" si="61"/>
        <v>0</v>
      </c>
      <c r="G88" s="84" t="s">
        <v>367</v>
      </c>
      <c r="H88" s="85">
        <v>14</v>
      </c>
      <c r="I88" s="85"/>
      <c r="J88" s="84" t="s">
        <v>63</v>
      </c>
      <c r="K88" s="84" t="s">
        <v>55</v>
      </c>
      <c r="L88" s="90">
        <v>3</v>
      </c>
      <c r="M88" s="96" t="s">
        <v>36</v>
      </c>
      <c r="N88" s="84"/>
      <c r="O88" s="107">
        <v>0</v>
      </c>
      <c r="P88" s="58">
        <f t="shared" si="62"/>
        <v>0</v>
      </c>
      <c r="Q88" s="84">
        <f t="shared" si="63"/>
        <v>0</v>
      </c>
      <c r="R88" s="57"/>
      <c r="S88" s="89">
        <v>3</v>
      </c>
      <c r="T88" s="89">
        <f>IF(U88=$AD$2,47,IF(U88=$AD$1,ROUND(((O88+500)*0.039),0),IF(U88=$AD$3,0)))</f>
        <v>0</v>
      </c>
      <c r="U88" s="87" t="str">
        <f t="shared" si="44"/>
        <v>NONE</v>
      </c>
      <c r="V88" s="97"/>
      <c r="W88" s="90"/>
      <c r="X88" s="89">
        <f>Q88+P88</f>
        <v>0</v>
      </c>
      <c r="Y88" s="89"/>
      <c r="Z88" s="58">
        <f t="shared" si="45"/>
        <v>0</v>
      </c>
      <c r="AA88" s="58">
        <f t="shared" si="46"/>
        <v>130</v>
      </c>
      <c r="AB88" s="58"/>
      <c r="AC88" s="98">
        <f>(O88+T88)-AA88</f>
        <v>-130</v>
      </c>
      <c r="AD88" s="58"/>
      <c r="AE88" s="58">
        <f t="shared" si="47"/>
        <v>0</v>
      </c>
      <c r="AF88" s="58">
        <f>IF(AG88&gt;0,AG66:AG88,0)</f>
        <v>0</v>
      </c>
      <c r="AG88" s="58">
        <f t="shared" si="48"/>
        <v>-130</v>
      </c>
      <c r="AI88">
        <f t="shared" si="49"/>
        <v>0</v>
      </c>
      <c r="AJ88">
        <f t="shared" si="50"/>
        <v>0</v>
      </c>
      <c r="AK88">
        <f t="shared" si="51"/>
        <v>0</v>
      </c>
      <c r="AL88">
        <f t="shared" si="52"/>
        <v>0</v>
      </c>
      <c r="AN88">
        <f t="shared" si="53"/>
        <v>0</v>
      </c>
      <c r="AO88">
        <f t="shared" si="54"/>
        <v>0</v>
      </c>
      <c r="AP88">
        <f t="shared" si="55"/>
        <v>0</v>
      </c>
      <c r="AQ88">
        <f t="shared" si="56"/>
        <v>0</v>
      </c>
    </row>
    <row r="89" spans="2:43" s="84" customFormat="1" x14ac:dyDescent="0.3">
      <c r="B89" s="102" t="s">
        <v>287</v>
      </c>
      <c r="C89" t="s">
        <v>288</v>
      </c>
      <c r="D89" s="85" t="s">
        <v>30</v>
      </c>
      <c r="E89" s="84">
        <f t="shared" si="60"/>
        <v>0</v>
      </c>
      <c r="F89" s="84">
        <f t="shared" si="61"/>
        <v>1</v>
      </c>
      <c r="G89" s="85" t="s">
        <v>289</v>
      </c>
      <c r="H89" s="85">
        <v>14</v>
      </c>
      <c r="I89" s="85"/>
      <c r="J89" s="85" t="s">
        <v>80</v>
      </c>
      <c r="K89" s="84" t="s">
        <v>55</v>
      </c>
      <c r="L89" s="90">
        <v>0</v>
      </c>
      <c r="M89" s="96" t="s">
        <v>36</v>
      </c>
      <c r="O89" s="107">
        <v>2757</v>
      </c>
      <c r="P89" s="58">
        <f t="shared" si="62"/>
        <v>1103</v>
      </c>
      <c r="Q89" s="84">
        <f t="shared" si="63"/>
        <v>2281</v>
      </c>
      <c r="R89" s="57" t="s">
        <v>290</v>
      </c>
      <c r="S89" s="89">
        <v>3</v>
      </c>
      <c r="T89" s="89">
        <f>IF(U89=$AD$2,47,IF(U89=$AD$1,ROUND(((O89+500)*0.039),0),IF(U89=$AD$3,0)))</f>
        <v>127</v>
      </c>
      <c r="U89" s="87" t="str">
        <f t="shared" si="44"/>
        <v>PAYPAL</v>
      </c>
      <c r="V89" s="97">
        <v>2</v>
      </c>
      <c r="W89" s="90" t="s">
        <v>448</v>
      </c>
      <c r="X89" s="89">
        <f>Q89+P89</f>
        <v>3384</v>
      </c>
      <c r="Y89" s="89"/>
      <c r="Z89" s="58">
        <f t="shared" si="45"/>
        <v>0</v>
      </c>
      <c r="AA89" s="58">
        <f t="shared" si="46"/>
        <v>130</v>
      </c>
      <c r="AB89" s="58"/>
      <c r="AC89" s="98">
        <f>(O89+T89)-AA89</f>
        <v>2754</v>
      </c>
      <c r="AD89" s="58"/>
      <c r="AE89" s="58">
        <f t="shared" si="47"/>
        <v>30</v>
      </c>
      <c r="AF89" s="58">
        <f>IF(AG89&gt;0,AG66:AG89,0)</f>
        <v>2724</v>
      </c>
      <c r="AG89" s="58">
        <f t="shared" si="48"/>
        <v>2724</v>
      </c>
      <c r="AI89">
        <f t="shared" si="49"/>
        <v>0</v>
      </c>
      <c r="AJ89">
        <f t="shared" si="50"/>
        <v>0</v>
      </c>
      <c r="AK89">
        <f t="shared" si="51"/>
        <v>2757</v>
      </c>
      <c r="AL89">
        <f t="shared" si="52"/>
        <v>0</v>
      </c>
      <c r="AM89"/>
      <c r="AN89">
        <f t="shared" si="53"/>
        <v>0</v>
      </c>
      <c r="AO89">
        <f t="shared" si="54"/>
        <v>0</v>
      </c>
      <c r="AP89">
        <f t="shared" si="55"/>
        <v>2757</v>
      </c>
      <c r="AQ89">
        <f t="shared" si="56"/>
        <v>0</v>
      </c>
    </row>
    <row r="90" spans="2:43" s="84" customFormat="1" x14ac:dyDescent="0.3">
      <c r="B90" s="112" t="s">
        <v>727</v>
      </c>
      <c r="C90" s="112" t="s">
        <v>1040</v>
      </c>
      <c r="D90" s="85" t="s">
        <v>30</v>
      </c>
      <c r="E90" s="84">
        <f t="shared" ref="E90:E95" si="64">IF(D90=$B$12,H90,0)</f>
        <v>0</v>
      </c>
      <c r="F90" s="84">
        <f t="shared" ref="F90:F95" si="65">IF(E90&gt;0,0,1)</f>
        <v>1</v>
      </c>
      <c r="G90" s="85" t="s">
        <v>320</v>
      </c>
      <c r="H90" s="85">
        <v>21</v>
      </c>
      <c r="I90" s="85"/>
      <c r="J90" s="84" t="s">
        <v>184</v>
      </c>
      <c r="K90" s="84" t="s">
        <v>55</v>
      </c>
      <c r="L90" s="90">
        <v>0</v>
      </c>
      <c r="M90" s="96" t="s">
        <v>36</v>
      </c>
      <c r="O90" s="107">
        <f>2940+110+47</f>
        <v>3097</v>
      </c>
      <c r="P90" s="113">
        <f t="shared" si="62"/>
        <v>1239</v>
      </c>
      <c r="Q90" s="84">
        <f t="shared" si="63"/>
        <v>2498</v>
      </c>
      <c r="R90" s="57" t="s">
        <v>316</v>
      </c>
      <c r="S90" s="89">
        <v>3</v>
      </c>
      <c r="T90" s="89">
        <f t="shared" ref="T90:T95" si="66">IF(U90=$AD$2,47,IF(U90=$AD$1,ROUND(((O90+500)*0.039),0),IF(U90=$AD$3,0)))</f>
        <v>140</v>
      </c>
      <c r="U90" s="87" t="str">
        <f t="shared" ref="U90:U100" si="67">IF(V90=1,$AD$2,IF(V90=2,$AD$1,IF(AND(V90&lt;&gt;1,V90&lt;&gt;20)=TRUE,$AD$3)))</f>
        <v>PAYPAL</v>
      </c>
      <c r="V90" s="97">
        <v>2</v>
      </c>
      <c r="W90" s="90" t="s">
        <v>461</v>
      </c>
      <c r="X90" s="89">
        <f t="shared" ref="X90:X95" si="68">Q90+P90</f>
        <v>3737</v>
      </c>
      <c r="Y90" s="89"/>
      <c r="Z90" s="58">
        <f t="shared" ref="Z90:Z100" si="69">IF(W90=$Z$1,Q90-500,0)</f>
        <v>0</v>
      </c>
      <c r="AA90" s="58">
        <f t="shared" ref="AA90:AA100" si="70">IF(H90&gt;0,130,0)</f>
        <v>130</v>
      </c>
      <c r="AB90" s="58"/>
      <c r="AC90" s="98">
        <f t="shared" ref="AC90:AC95" si="71">(O90+T90)-AA90</f>
        <v>3107</v>
      </c>
      <c r="AD90" s="58"/>
      <c r="AE90" s="58">
        <f t="shared" ref="AE90:AE100" si="72">IF(H90&gt;0,30*F90,0)</f>
        <v>30</v>
      </c>
      <c r="AF90" s="58">
        <f>IF(AG90&gt;0,AG55:AG90,0)</f>
        <v>3077</v>
      </c>
      <c r="AG90" s="58">
        <f t="shared" si="48"/>
        <v>3077</v>
      </c>
      <c r="AI90">
        <f t="shared" si="49"/>
        <v>0</v>
      </c>
      <c r="AJ90">
        <f t="shared" si="50"/>
        <v>0</v>
      </c>
      <c r="AK90">
        <f t="shared" si="51"/>
        <v>3097</v>
      </c>
      <c r="AL90">
        <f t="shared" si="52"/>
        <v>0</v>
      </c>
      <c r="AM90"/>
      <c r="AN90">
        <f t="shared" si="53"/>
        <v>0</v>
      </c>
      <c r="AO90">
        <f t="shared" si="54"/>
        <v>0</v>
      </c>
      <c r="AP90">
        <f t="shared" si="55"/>
        <v>3097</v>
      </c>
      <c r="AQ90">
        <f t="shared" si="56"/>
        <v>0</v>
      </c>
    </row>
    <row r="91" spans="2:43" s="84" customFormat="1" x14ac:dyDescent="0.3">
      <c r="B91" s="112" t="s">
        <v>333</v>
      </c>
      <c r="C91" t="s">
        <v>324</v>
      </c>
      <c r="D91" s="85" t="s">
        <v>30</v>
      </c>
      <c r="E91" s="84">
        <f t="shared" si="64"/>
        <v>0</v>
      </c>
      <c r="F91" s="84">
        <f t="shared" si="65"/>
        <v>1</v>
      </c>
      <c r="G91" s="84" t="s">
        <v>334</v>
      </c>
      <c r="H91" s="115">
        <v>13</v>
      </c>
      <c r="I91" s="115"/>
      <c r="J91" s="85" t="s">
        <v>325</v>
      </c>
      <c r="K91" s="84" t="s">
        <v>55</v>
      </c>
      <c r="L91" s="90">
        <v>0</v>
      </c>
      <c r="M91" s="96" t="s">
        <v>36</v>
      </c>
      <c r="O91" s="107">
        <v>2573</v>
      </c>
      <c r="P91" s="58">
        <f t="shared" si="62"/>
        <v>1029</v>
      </c>
      <c r="Q91" s="115">
        <f>2164-184</f>
        <v>1980</v>
      </c>
      <c r="R91" s="57" t="s">
        <v>326</v>
      </c>
      <c r="S91" s="89">
        <v>3</v>
      </c>
      <c r="T91" s="89">
        <f t="shared" si="66"/>
        <v>120</v>
      </c>
      <c r="U91" s="87" t="str">
        <f t="shared" si="67"/>
        <v>PAYPAL</v>
      </c>
      <c r="V91" s="97">
        <v>2</v>
      </c>
      <c r="W91" s="90" t="s">
        <v>260</v>
      </c>
      <c r="X91" s="89">
        <f t="shared" si="68"/>
        <v>3009</v>
      </c>
      <c r="Y91" s="89"/>
      <c r="Z91" s="58">
        <f t="shared" si="69"/>
        <v>0</v>
      </c>
      <c r="AA91" s="58">
        <f t="shared" si="70"/>
        <v>130</v>
      </c>
      <c r="AB91" s="58"/>
      <c r="AC91" s="98">
        <f t="shared" si="71"/>
        <v>2563</v>
      </c>
      <c r="AD91" s="58"/>
      <c r="AE91" s="58">
        <f t="shared" si="72"/>
        <v>30</v>
      </c>
      <c r="AF91" s="58">
        <f>IF(AG91&gt;0,AG56:AG91,0)</f>
        <v>2533</v>
      </c>
      <c r="AG91" s="58">
        <f t="shared" si="48"/>
        <v>2533</v>
      </c>
      <c r="AI91">
        <f t="shared" si="49"/>
        <v>0</v>
      </c>
      <c r="AJ91">
        <f t="shared" si="50"/>
        <v>0</v>
      </c>
      <c r="AK91">
        <f t="shared" si="51"/>
        <v>2573</v>
      </c>
      <c r="AL91">
        <f t="shared" si="52"/>
        <v>0</v>
      </c>
      <c r="AM91"/>
      <c r="AN91">
        <f t="shared" si="53"/>
        <v>0</v>
      </c>
      <c r="AO91">
        <f t="shared" si="54"/>
        <v>0</v>
      </c>
      <c r="AP91">
        <f t="shared" si="55"/>
        <v>2573</v>
      </c>
      <c r="AQ91">
        <f t="shared" si="56"/>
        <v>0</v>
      </c>
    </row>
    <row r="92" spans="2:43" s="84" customFormat="1" x14ac:dyDescent="0.3">
      <c r="B92" s="106" t="s">
        <v>307</v>
      </c>
      <c r="C92" t="s">
        <v>308</v>
      </c>
      <c r="D92" s="85" t="s">
        <v>61</v>
      </c>
      <c r="E92" s="84">
        <f t="shared" si="64"/>
        <v>0</v>
      </c>
      <c r="F92" s="84">
        <f t="shared" si="65"/>
        <v>1</v>
      </c>
      <c r="G92" s="85" t="s">
        <v>309</v>
      </c>
      <c r="H92" s="85">
        <v>13</v>
      </c>
      <c r="I92" s="85"/>
      <c r="J92" s="85" t="s">
        <v>103</v>
      </c>
      <c r="K92" s="84" t="s">
        <v>55</v>
      </c>
      <c r="L92" s="90">
        <v>0</v>
      </c>
      <c r="M92" s="96" t="s">
        <v>36</v>
      </c>
      <c r="O92" s="107">
        <v>2369</v>
      </c>
      <c r="P92" s="58">
        <f t="shared" si="62"/>
        <v>948</v>
      </c>
      <c r="Q92" s="84">
        <f t="shared" ref="Q92:Q107" si="73">IF(O92&gt;0,((O92+500)-P92)+T92,0)</f>
        <v>2033</v>
      </c>
      <c r="R92" s="57" t="s">
        <v>310</v>
      </c>
      <c r="S92" s="89">
        <v>3</v>
      </c>
      <c r="T92" s="89">
        <f t="shared" si="66"/>
        <v>112</v>
      </c>
      <c r="U92" s="87" t="str">
        <f t="shared" si="67"/>
        <v>PAYPAL</v>
      </c>
      <c r="V92" s="97">
        <v>2</v>
      </c>
      <c r="W92" s="90" t="s">
        <v>467</v>
      </c>
      <c r="X92" s="89">
        <f t="shared" si="68"/>
        <v>2981</v>
      </c>
      <c r="Y92" s="89"/>
      <c r="Z92" s="58">
        <f t="shared" si="69"/>
        <v>0</v>
      </c>
      <c r="AA92" s="58">
        <f t="shared" si="70"/>
        <v>130</v>
      </c>
      <c r="AB92" s="58"/>
      <c r="AC92" s="98">
        <f t="shared" si="71"/>
        <v>2351</v>
      </c>
      <c r="AD92" s="58"/>
      <c r="AE92" s="58">
        <f t="shared" si="72"/>
        <v>30</v>
      </c>
      <c r="AF92" s="58">
        <f>IF(AG92&gt;0,AG55:AG92,0)</f>
        <v>2321</v>
      </c>
      <c r="AG92" s="58">
        <f t="shared" si="48"/>
        <v>2321</v>
      </c>
      <c r="AI92">
        <f t="shared" si="49"/>
        <v>0</v>
      </c>
      <c r="AJ92">
        <f t="shared" si="50"/>
        <v>0</v>
      </c>
      <c r="AK92">
        <f t="shared" si="51"/>
        <v>2369</v>
      </c>
      <c r="AL92">
        <f t="shared" si="52"/>
        <v>0</v>
      </c>
      <c r="AM92"/>
      <c r="AN92">
        <f t="shared" si="53"/>
        <v>0</v>
      </c>
      <c r="AO92">
        <f t="shared" si="54"/>
        <v>0</v>
      </c>
      <c r="AP92">
        <f t="shared" si="55"/>
        <v>2369</v>
      </c>
      <c r="AQ92">
        <f t="shared" si="56"/>
        <v>0</v>
      </c>
    </row>
    <row r="93" spans="2:43" x14ac:dyDescent="0.3">
      <c r="B93" s="103" t="s">
        <v>82</v>
      </c>
      <c r="C93" s="86" t="s">
        <v>42</v>
      </c>
      <c r="D93" s="85" t="s">
        <v>42</v>
      </c>
      <c r="E93" s="84">
        <f t="shared" si="64"/>
        <v>2</v>
      </c>
      <c r="F93" s="84">
        <f t="shared" si="65"/>
        <v>0</v>
      </c>
      <c r="G93" s="85" t="s">
        <v>424</v>
      </c>
      <c r="H93" s="85">
        <v>2</v>
      </c>
      <c r="I93" s="85"/>
      <c r="J93" s="84" t="s">
        <v>63</v>
      </c>
      <c r="K93" s="84" t="s">
        <v>55</v>
      </c>
      <c r="L93" s="90">
        <v>3</v>
      </c>
      <c r="M93" s="96" t="s">
        <v>36</v>
      </c>
      <c r="N93" s="84"/>
      <c r="O93" s="107">
        <v>0</v>
      </c>
      <c r="P93" s="58">
        <f t="shared" si="62"/>
        <v>0</v>
      </c>
      <c r="Q93" s="84">
        <f t="shared" si="73"/>
        <v>0</v>
      </c>
      <c r="R93" s="57"/>
      <c r="S93" s="89"/>
      <c r="T93" s="89">
        <f t="shared" si="66"/>
        <v>0</v>
      </c>
      <c r="U93" s="87" t="str">
        <f>IF(V93=1,$AD$2,IF(V93=2,$AD$1,IF(AND(V93&lt;&gt;1,V93&lt;&gt;20)=TRUE,$AD$3)))</f>
        <v>NONE</v>
      </c>
      <c r="V93" s="97"/>
      <c r="W93" s="90"/>
      <c r="X93" s="89">
        <f t="shared" si="68"/>
        <v>0</v>
      </c>
      <c r="Y93" s="89"/>
      <c r="Z93" s="58">
        <f>IF(W93=$Z$1,Q93-500,0)</f>
        <v>0</v>
      </c>
      <c r="AA93" s="58">
        <f>IF(H93&gt;0,130,0)</f>
        <v>130</v>
      </c>
      <c r="AB93" s="58"/>
      <c r="AC93" s="98">
        <f t="shared" si="71"/>
        <v>-130</v>
      </c>
      <c r="AD93" s="58"/>
      <c r="AE93" s="58">
        <f>IF(H93&gt;0,30*F93,0)</f>
        <v>0</v>
      </c>
      <c r="AF93" s="58">
        <f>IF(AG93&gt;0,AG47:AG93,0)</f>
        <v>0</v>
      </c>
      <c r="AG93" s="58">
        <f>AC93-AE93</f>
        <v>-130</v>
      </c>
      <c r="AI93">
        <f t="shared" si="49"/>
        <v>0</v>
      </c>
      <c r="AJ93">
        <f t="shared" si="50"/>
        <v>0</v>
      </c>
      <c r="AK93">
        <f t="shared" si="51"/>
        <v>0</v>
      </c>
      <c r="AL93">
        <f t="shared" si="52"/>
        <v>0</v>
      </c>
      <c r="AN93">
        <f t="shared" si="53"/>
        <v>0</v>
      </c>
      <c r="AO93">
        <f t="shared" si="54"/>
        <v>0</v>
      </c>
      <c r="AP93">
        <f t="shared" si="55"/>
        <v>0</v>
      </c>
      <c r="AQ93">
        <f t="shared" si="56"/>
        <v>0</v>
      </c>
    </row>
    <row r="94" spans="2:43" s="84" customFormat="1" x14ac:dyDescent="0.3">
      <c r="B94" s="147" t="s">
        <v>375</v>
      </c>
      <c r="C94" s="147" t="s">
        <v>381</v>
      </c>
      <c r="D94" s="85" t="s">
        <v>61</v>
      </c>
      <c r="E94" s="84">
        <f t="shared" si="64"/>
        <v>0</v>
      </c>
      <c r="F94" s="84">
        <f t="shared" si="65"/>
        <v>1</v>
      </c>
      <c r="G94" s="85" t="s">
        <v>376</v>
      </c>
      <c r="H94" s="85">
        <v>7</v>
      </c>
      <c r="I94" s="85"/>
      <c r="J94" s="84" t="s">
        <v>401</v>
      </c>
      <c r="K94" s="84" t="s">
        <v>55</v>
      </c>
      <c r="L94" s="90">
        <v>0</v>
      </c>
      <c r="M94" s="96" t="s">
        <v>36</v>
      </c>
      <c r="O94" s="107">
        <v>1498</v>
      </c>
      <c r="P94" s="58">
        <f t="shared" si="62"/>
        <v>599</v>
      </c>
      <c r="Q94" s="84">
        <f t="shared" si="73"/>
        <v>1477</v>
      </c>
      <c r="R94" s="57" t="s">
        <v>377</v>
      </c>
      <c r="S94" s="89">
        <v>3</v>
      </c>
      <c r="T94" s="89">
        <f t="shared" si="66"/>
        <v>78</v>
      </c>
      <c r="U94" s="87" t="str">
        <f>IF(V94=1,$AD$2,IF(V94=2,$AD$1,IF(AND(V94&lt;&gt;1,V94&lt;&gt;20)=TRUE,$AD$3)))</f>
        <v>PAYPAL</v>
      </c>
      <c r="V94" s="97">
        <v>2</v>
      </c>
      <c r="W94" s="90" t="s">
        <v>351</v>
      </c>
      <c r="X94" s="89">
        <f t="shared" si="68"/>
        <v>2076</v>
      </c>
      <c r="Y94" s="89"/>
      <c r="Z94" s="58">
        <f>IF(W94=$Z$1,Q94-500,0)</f>
        <v>0</v>
      </c>
      <c r="AA94" s="58">
        <f>IF(H94&gt;0,130,0)</f>
        <v>130</v>
      </c>
      <c r="AB94" s="58"/>
      <c r="AC94" s="98">
        <f t="shared" si="71"/>
        <v>1446</v>
      </c>
      <c r="AD94" s="58"/>
      <c r="AE94" s="58">
        <f>IF(H94&gt;0,30*F94,0)</f>
        <v>30</v>
      </c>
      <c r="AF94" s="58">
        <f>IF(AG94&gt;0,AG94,0)</f>
        <v>1416</v>
      </c>
      <c r="AG94" s="58">
        <f t="shared" si="48"/>
        <v>1416</v>
      </c>
      <c r="AI94" s="84">
        <f>IF(S94=1,O94,0)</f>
        <v>0</v>
      </c>
      <c r="AJ94" s="84">
        <f>IF(S94=2,O94,0)</f>
        <v>0</v>
      </c>
      <c r="AK94" s="84">
        <f>IF(S94=3,O94,0)</f>
        <v>1498</v>
      </c>
      <c r="AL94" s="84">
        <f>IF(S94=4,O94,0)</f>
        <v>0</v>
      </c>
      <c r="AN94" s="84">
        <f>IF(S94=1,O94,0)</f>
        <v>0</v>
      </c>
      <c r="AO94" s="84">
        <f>IF(S94=2,O94,0)</f>
        <v>0</v>
      </c>
      <c r="AP94" s="84">
        <f>IF(S94=3,O94,0)</f>
        <v>1498</v>
      </c>
      <c r="AQ94" s="84">
        <f>IF(S94=4,O94,0)</f>
        <v>0</v>
      </c>
    </row>
    <row r="95" spans="2:43" ht="15.6" x14ac:dyDescent="0.3">
      <c r="B95" s="171" t="s">
        <v>446</v>
      </c>
      <c r="C95" t="s">
        <v>447</v>
      </c>
      <c r="D95" s="85" t="s">
        <v>370</v>
      </c>
      <c r="E95" s="84">
        <f t="shared" si="64"/>
        <v>0</v>
      </c>
      <c r="F95" s="84">
        <f t="shared" si="65"/>
        <v>1</v>
      </c>
      <c r="G95" s="84" t="s">
        <v>466</v>
      </c>
      <c r="H95" s="85">
        <v>7</v>
      </c>
      <c r="I95" s="85"/>
      <c r="J95" s="84" t="s">
        <v>103</v>
      </c>
      <c r="K95" s="84" t="s">
        <v>55</v>
      </c>
      <c r="L95" s="90">
        <v>0</v>
      </c>
      <c r="M95" s="96" t="s">
        <v>36</v>
      </c>
      <c r="N95" s="84"/>
      <c r="O95" s="107">
        <v>1075</v>
      </c>
      <c r="P95" s="58">
        <v>0</v>
      </c>
      <c r="Q95" s="84">
        <f t="shared" si="73"/>
        <v>1636</v>
      </c>
      <c r="R95" s="57" t="s">
        <v>156</v>
      </c>
      <c r="S95" s="89">
        <v>3</v>
      </c>
      <c r="T95" s="89">
        <f t="shared" si="66"/>
        <v>61</v>
      </c>
      <c r="U95" s="87" t="str">
        <f t="shared" si="67"/>
        <v>PAYPAL</v>
      </c>
      <c r="V95" s="97">
        <v>2</v>
      </c>
      <c r="W95" s="90" t="s">
        <v>474</v>
      </c>
      <c r="X95" s="89">
        <f t="shared" si="68"/>
        <v>1636</v>
      </c>
      <c r="Y95" s="89"/>
      <c r="Z95" s="58">
        <f>IF(W95=$Z$1,Q95-500,0)</f>
        <v>0</v>
      </c>
      <c r="AA95" s="58">
        <f>IF(H95&gt;0,130,0)</f>
        <v>130</v>
      </c>
      <c r="AB95" s="58"/>
      <c r="AC95" s="98">
        <f t="shared" si="71"/>
        <v>1006</v>
      </c>
      <c r="AD95" s="58"/>
      <c r="AE95" s="58">
        <f>IF(H95&gt;0,30*F95,0)</f>
        <v>30</v>
      </c>
      <c r="AF95" s="58"/>
      <c r="AG95" s="58">
        <f t="shared" si="48"/>
        <v>976</v>
      </c>
      <c r="AI95" s="84">
        <f>IF(S95=1,O95,0)</f>
        <v>0</v>
      </c>
      <c r="AJ95" s="84">
        <f>IF(S95=2,O95,0)</f>
        <v>0</v>
      </c>
      <c r="AK95" s="84">
        <f>IF(S95=3,O95,0)</f>
        <v>1075</v>
      </c>
      <c r="AL95" s="84">
        <f>IF(S95=4,O95,0)</f>
        <v>0</v>
      </c>
      <c r="AN95" s="84">
        <f>IF(S95=1,O95,0)</f>
        <v>0</v>
      </c>
      <c r="AO95" s="84">
        <f>IF(S95=2,O95,0)</f>
        <v>0</v>
      </c>
      <c r="AP95" s="84">
        <f>IF(S95=3,O95,0)</f>
        <v>1075</v>
      </c>
      <c r="AQ95" s="84">
        <f>IF(S95=4,O95,0)</f>
        <v>0</v>
      </c>
    </row>
    <row r="96" spans="2:43" s="84" customFormat="1" ht="15.75" customHeight="1" x14ac:dyDescent="0.3">
      <c r="B96" s="103" t="s">
        <v>82</v>
      </c>
      <c r="C96" s="86" t="s">
        <v>42</v>
      </c>
      <c r="D96" s="84" t="s">
        <v>42</v>
      </c>
      <c r="E96" s="84">
        <f t="shared" ref="E96:E107" si="74">IF(D96=$B$12,H96,0)</f>
        <v>3</v>
      </c>
      <c r="F96" s="84">
        <f t="shared" ref="F96:F107" si="75">IF(E96&gt;0,0,1)</f>
        <v>0</v>
      </c>
      <c r="G96" s="175" t="s">
        <v>435</v>
      </c>
      <c r="H96" s="85">
        <v>3</v>
      </c>
      <c r="I96" s="85"/>
      <c r="J96" s="84" t="s">
        <v>63</v>
      </c>
      <c r="K96" s="84" t="s">
        <v>55</v>
      </c>
      <c r="L96" s="90">
        <v>3</v>
      </c>
      <c r="M96" s="96" t="s">
        <v>36</v>
      </c>
      <c r="O96" s="107">
        <v>0</v>
      </c>
      <c r="P96" s="58">
        <f t="shared" ref="P96:P107" si="76">ROUND((O96*0.4),0)</f>
        <v>0</v>
      </c>
      <c r="Q96" s="84">
        <f t="shared" si="73"/>
        <v>0</v>
      </c>
      <c r="R96" s="57"/>
      <c r="S96" s="89">
        <v>4</v>
      </c>
      <c r="T96" s="89">
        <f t="shared" ref="T96:T107" si="77">IF(U96=$AD$2,47,IF(U96=$AD$1,ROUND(((O96+500)*0.039),0),IF(U96=$AD$3,0)))</f>
        <v>0</v>
      </c>
      <c r="U96" s="87" t="str">
        <f t="shared" si="67"/>
        <v>NONE</v>
      </c>
      <c r="V96" s="97"/>
      <c r="W96" s="90"/>
      <c r="X96" s="89">
        <f t="shared" ref="X96:X107" si="78">Q96+P96</f>
        <v>0</v>
      </c>
      <c r="Y96" s="89"/>
      <c r="Z96" s="58">
        <f t="shared" si="69"/>
        <v>0</v>
      </c>
      <c r="AA96" s="58">
        <f t="shared" si="70"/>
        <v>130</v>
      </c>
      <c r="AB96" s="58"/>
      <c r="AC96" s="98">
        <f t="shared" ref="AC96:AC107" si="79">(O96+T96)-AA96</f>
        <v>-130</v>
      </c>
      <c r="AD96" s="58"/>
      <c r="AE96" s="58">
        <f t="shared" si="72"/>
        <v>0</v>
      </c>
      <c r="AF96" s="58">
        <f>IF(AG96&gt;0,AG71:AG106,0)</f>
        <v>0</v>
      </c>
      <c r="AG96" s="58">
        <f t="shared" si="48"/>
        <v>-130</v>
      </c>
      <c r="AI96">
        <f t="shared" si="49"/>
        <v>0</v>
      </c>
      <c r="AJ96">
        <f t="shared" si="50"/>
        <v>0</v>
      </c>
      <c r="AK96">
        <f t="shared" si="51"/>
        <v>0</v>
      </c>
      <c r="AL96">
        <f t="shared" si="52"/>
        <v>0</v>
      </c>
      <c r="AM96"/>
      <c r="AN96">
        <f t="shared" si="53"/>
        <v>0</v>
      </c>
      <c r="AO96">
        <f t="shared" si="54"/>
        <v>0</v>
      </c>
      <c r="AP96">
        <f t="shared" si="55"/>
        <v>0</v>
      </c>
      <c r="AQ96">
        <f t="shared" si="56"/>
        <v>0</v>
      </c>
    </row>
    <row r="97" spans="1:44" x14ac:dyDescent="0.3">
      <c r="B97" s="148" t="s">
        <v>392</v>
      </c>
      <c r="C97" s="148" t="s">
        <v>393</v>
      </c>
      <c r="D97" s="148" t="s">
        <v>30</v>
      </c>
      <c r="E97" s="148">
        <f t="shared" si="74"/>
        <v>0</v>
      </c>
      <c r="F97" s="148">
        <f t="shared" si="75"/>
        <v>1</v>
      </c>
      <c r="G97" s="148" t="s">
        <v>389</v>
      </c>
      <c r="H97" s="148">
        <v>9</v>
      </c>
      <c r="I97" s="148"/>
      <c r="J97" s="148" t="s">
        <v>390</v>
      </c>
      <c r="K97" s="148" t="s">
        <v>55</v>
      </c>
      <c r="L97" s="109">
        <v>0</v>
      </c>
      <c r="M97" s="96" t="s">
        <v>394</v>
      </c>
      <c r="N97" s="148"/>
      <c r="O97" s="162">
        <v>2188</v>
      </c>
      <c r="P97" s="156">
        <f t="shared" si="76"/>
        <v>875</v>
      </c>
      <c r="Q97" s="148">
        <f t="shared" si="73"/>
        <v>1918</v>
      </c>
      <c r="R97" s="170" t="s">
        <v>391</v>
      </c>
      <c r="S97" s="157">
        <v>4</v>
      </c>
      <c r="T97" s="157">
        <f t="shared" si="77"/>
        <v>105</v>
      </c>
      <c r="U97" s="160" t="str">
        <f>IF(V97=1,$AD$2,IF(V97=2,$AD$1,IF(AND(V97&lt;&gt;1,V97&lt;&gt;20)=TRUE,$AD$3)))</f>
        <v>PAYPAL</v>
      </c>
      <c r="V97" s="158">
        <v>2</v>
      </c>
      <c r="W97" s="109" t="s">
        <v>351</v>
      </c>
      <c r="X97" s="157">
        <f t="shared" si="78"/>
        <v>2793</v>
      </c>
      <c r="Y97" s="157"/>
      <c r="Z97" s="156">
        <f>IF(W97=$Z$1,Q97-500,0)</f>
        <v>0</v>
      </c>
      <c r="AA97" s="156">
        <f>IF(H97&gt;0,130,0)</f>
        <v>130</v>
      </c>
      <c r="AB97" s="156"/>
      <c r="AC97" s="159">
        <f t="shared" si="79"/>
        <v>2163</v>
      </c>
      <c r="AD97" s="156"/>
      <c r="AE97" s="156">
        <f>IF(H97&gt;0,30*F97,0)</f>
        <v>30</v>
      </c>
      <c r="AF97" s="156">
        <f>IF(AG97&gt;0,AG51:AG97,0)</f>
        <v>2133</v>
      </c>
      <c r="AG97" s="156">
        <f t="shared" si="48"/>
        <v>2133</v>
      </c>
      <c r="AI97">
        <f t="shared" si="49"/>
        <v>0</v>
      </c>
      <c r="AJ97">
        <f t="shared" si="50"/>
        <v>0</v>
      </c>
      <c r="AK97">
        <f t="shared" si="51"/>
        <v>0</v>
      </c>
      <c r="AL97">
        <f t="shared" si="52"/>
        <v>2188</v>
      </c>
      <c r="AN97">
        <f t="shared" si="53"/>
        <v>0</v>
      </c>
      <c r="AO97">
        <f t="shared" si="54"/>
        <v>0</v>
      </c>
      <c r="AP97">
        <f t="shared" si="55"/>
        <v>0</v>
      </c>
      <c r="AQ97">
        <f t="shared" si="56"/>
        <v>2188</v>
      </c>
    </row>
    <row r="98" spans="1:44" s="84" customFormat="1" x14ac:dyDescent="0.3">
      <c r="B98" s="111" t="s">
        <v>317</v>
      </c>
      <c r="C98" s="84" t="s">
        <v>332</v>
      </c>
      <c r="D98" s="84" t="s">
        <v>30</v>
      </c>
      <c r="E98" s="84">
        <f t="shared" si="74"/>
        <v>0</v>
      </c>
      <c r="F98" s="84">
        <f t="shared" si="75"/>
        <v>1</v>
      </c>
      <c r="G98" s="84" t="s">
        <v>318</v>
      </c>
      <c r="H98" s="85">
        <v>8</v>
      </c>
      <c r="I98" s="85"/>
      <c r="J98" s="84" t="s">
        <v>63</v>
      </c>
      <c r="K98" s="84" t="s">
        <v>55</v>
      </c>
      <c r="L98" s="90">
        <v>0</v>
      </c>
      <c r="M98" s="96" t="s">
        <v>36</v>
      </c>
      <c r="O98" s="107">
        <v>1532</v>
      </c>
      <c r="P98" s="58">
        <f t="shared" si="76"/>
        <v>613</v>
      </c>
      <c r="Q98" s="84">
        <f t="shared" si="73"/>
        <v>1498</v>
      </c>
      <c r="R98" s="57" t="s">
        <v>319</v>
      </c>
      <c r="S98" s="89">
        <v>4</v>
      </c>
      <c r="T98" s="89">
        <f t="shared" si="77"/>
        <v>79</v>
      </c>
      <c r="U98" s="87" t="str">
        <f t="shared" si="67"/>
        <v>PAYPAL</v>
      </c>
      <c r="V98" s="97">
        <v>2</v>
      </c>
      <c r="W98" s="90" t="s">
        <v>475</v>
      </c>
      <c r="X98" s="89">
        <f t="shared" si="78"/>
        <v>2111</v>
      </c>
      <c r="Y98" s="89"/>
      <c r="Z98" s="58">
        <f t="shared" si="69"/>
        <v>0</v>
      </c>
      <c r="AA98" s="58">
        <f t="shared" si="70"/>
        <v>130</v>
      </c>
      <c r="AB98" s="58"/>
      <c r="AC98" s="98">
        <f t="shared" si="79"/>
        <v>1481</v>
      </c>
      <c r="AD98" s="58"/>
      <c r="AE98" s="58">
        <f t="shared" si="72"/>
        <v>30</v>
      </c>
      <c r="AF98" s="58">
        <f>IF(AG98&gt;0,AG58:AG98,0)</f>
        <v>1451</v>
      </c>
      <c r="AG98" s="58">
        <f t="shared" si="48"/>
        <v>1451</v>
      </c>
      <c r="AI98">
        <f t="shared" si="49"/>
        <v>0</v>
      </c>
      <c r="AJ98">
        <f t="shared" si="50"/>
        <v>0</v>
      </c>
      <c r="AK98">
        <f t="shared" si="51"/>
        <v>0</v>
      </c>
      <c r="AL98">
        <f t="shared" si="52"/>
        <v>1532</v>
      </c>
      <c r="AM98"/>
      <c r="AN98">
        <f t="shared" si="53"/>
        <v>0</v>
      </c>
      <c r="AO98">
        <f t="shared" si="54"/>
        <v>0</v>
      </c>
      <c r="AP98">
        <f t="shared" si="55"/>
        <v>0</v>
      </c>
      <c r="AQ98">
        <f t="shared" si="56"/>
        <v>1532</v>
      </c>
    </row>
    <row r="99" spans="1:44" x14ac:dyDescent="0.3">
      <c r="B99" s="103" t="s">
        <v>82</v>
      </c>
      <c r="C99" s="86"/>
      <c r="D99" s="85" t="s">
        <v>42</v>
      </c>
      <c r="E99" s="84">
        <f t="shared" si="74"/>
        <v>3</v>
      </c>
      <c r="F99" s="84">
        <f t="shared" si="75"/>
        <v>0</v>
      </c>
      <c r="G99" s="85" t="s">
        <v>423</v>
      </c>
      <c r="H99" s="85">
        <v>3</v>
      </c>
      <c r="I99" s="85"/>
      <c r="J99" s="84" t="s">
        <v>63</v>
      </c>
      <c r="K99" s="84" t="s">
        <v>55</v>
      </c>
      <c r="L99" s="90">
        <v>3</v>
      </c>
      <c r="M99" s="96" t="s">
        <v>36</v>
      </c>
      <c r="N99" s="84"/>
      <c r="O99" s="107">
        <v>0</v>
      </c>
      <c r="P99" s="58">
        <f t="shared" si="76"/>
        <v>0</v>
      </c>
      <c r="Q99" s="84">
        <f t="shared" si="73"/>
        <v>0</v>
      </c>
      <c r="R99" s="57"/>
      <c r="S99" s="89"/>
      <c r="T99" s="89">
        <f t="shared" si="77"/>
        <v>0</v>
      </c>
      <c r="U99" s="87" t="str">
        <f>IF(V99=1,$AD$2,IF(V99=2,$AD$1,IF(AND(V99&lt;&gt;1,V99&lt;&gt;20)=TRUE,$AD$3)))</f>
        <v>NONE</v>
      </c>
      <c r="V99" s="97"/>
      <c r="W99" s="90"/>
      <c r="X99" s="89">
        <f t="shared" si="78"/>
        <v>0</v>
      </c>
      <c r="Y99" s="89"/>
      <c r="Z99" s="58">
        <f>IF(W99=$Z$1,Q99-500,0)</f>
        <v>0</v>
      </c>
      <c r="AA99" s="58">
        <f>IF(H99&gt;0,130,0)</f>
        <v>130</v>
      </c>
      <c r="AB99" s="58"/>
      <c r="AC99" s="98">
        <f t="shared" si="79"/>
        <v>-130</v>
      </c>
      <c r="AD99" s="58"/>
      <c r="AE99" s="58">
        <f>IF(H99&gt;0,30*F99,0)</f>
        <v>0</v>
      </c>
      <c r="AF99" s="58">
        <f>IF(AG99&gt;0,AG52:AG99,0)</f>
        <v>0</v>
      </c>
      <c r="AG99" s="58">
        <f>AC99-AE99</f>
        <v>-130</v>
      </c>
      <c r="AI99">
        <f t="shared" si="49"/>
        <v>0</v>
      </c>
      <c r="AJ99">
        <f t="shared" si="50"/>
        <v>0</v>
      </c>
      <c r="AK99">
        <f t="shared" si="51"/>
        <v>0</v>
      </c>
      <c r="AL99">
        <f t="shared" si="52"/>
        <v>0</v>
      </c>
      <c r="AN99">
        <f t="shared" si="53"/>
        <v>0</v>
      </c>
      <c r="AO99">
        <f t="shared" si="54"/>
        <v>0</v>
      </c>
      <c r="AP99">
        <f t="shared" si="55"/>
        <v>0</v>
      </c>
      <c r="AQ99">
        <f t="shared" si="56"/>
        <v>0</v>
      </c>
    </row>
    <row r="100" spans="1:44" s="84" customFormat="1" x14ac:dyDescent="0.3">
      <c r="B100" s="86" t="s">
        <v>312</v>
      </c>
      <c r="C100" t="s">
        <v>311</v>
      </c>
      <c r="D100" s="84" t="s">
        <v>30</v>
      </c>
      <c r="E100" s="84">
        <f t="shared" si="74"/>
        <v>0</v>
      </c>
      <c r="F100" s="84">
        <f t="shared" si="75"/>
        <v>1</v>
      </c>
      <c r="G100" s="84" t="s">
        <v>313</v>
      </c>
      <c r="H100" s="85">
        <v>17</v>
      </c>
      <c r="I100" s="85"/>
      <c r="J100" s="84" t="s">
        <v>80</v>
      </c>
      <c r="K100" s="84" t="s">
        <v>55</v>
      </c>
      <c r="L100" s="90">
        <v>0</v>
      </c>
      <c r="M100" s="96" t="s">
        <v>36</v>
      </c>
      <c r="O100" s="107">
        <v>3039</v>
      </c>
      <c r="P100" s="58">
        <f t="shared" si="76"/>
        <v>1216</v>
      </c>
      <c r="Q100" s="84">
        <f t="shared" si="73"/>
        <v>2461</v>
      </c>
      <c r="R100" s="57" t="s">
        <v>314</v>
      </c>
      <c r="S100" s="89">
        <v>4</v>
      </c>
      <c r="T100" s="89">
        <f t="shared" si="77"/>
        <v>138</v>
      </c>
      <c r="U100" s="87" t="str">
        <f t="shared" si="67"/>
        <v>PAYPAL</v>
      </c>
      <c r="V100" s="97">
        <v>2</v>
      </c>
      <c r="W100" s="90" t="s">
        <v>481</v>
      </c>
      <c r="X100" s="89">
        <f t="shared" si="78"/>
        <v>3677</v>
      </c>
      <c r="Y100" s="89"/>
      <c r="Z100" s="58">
        <f t="shared" si="69"/>
        <v>0</v>
      </c>
      <c r="AA100" s="58">
        <f t="shared" si="70"/>
        <v>130</v>
      </c>
      <c r="AB100" s="58"/>
      <c r="AC100" s="98">
        <f t="shared" si="79"/>
        <v>3047</v>
      </c>
      <c r="AD100" s="58"/>
      <c r="AE100" s="58">
        <f t="shared" si="72"/>
        <v>30</v>
      </c>
      <c r="AF100" s="58">
        <f>IF(AG100&gt;0,AG57:AG100,0)</f>
        <v>3017</v>
      </c>
      <c r="AG100" s="58">
        <f t="shared" si="48"/>
        <v>3017</v>
      </c>
      <c r="AI100">
        <f t="shared" si="49"/>
        <v>0</v>
      </c>
      <c r="AJ100">
        <f t="shared" si="50"/>
        <v>0</v>
      </c>
      <c r="AK100">
        <f t="shared" si="51"/>
        <v>0</v>
      </c>
      <c r="AL100">
        <f t="shared" si="52"/>
        <v>3039</v>
      </c>
      <c r="AM100"/>
      <c r="AN100">
        <f t="shared" si="53"/>
        <v>0</v>
      </c>
      <c r="AO100">
        <f t="shared" si="54"/>
        <v>0</v>
      </c>
      <c r="AP100">
        <f t="shared" si="55"/>
        <v>0</v>
      </c>
      <c r="AQ100">
        <f t="shared" si="56"/>
        <v>3039</v>
      </c>
    </row>
    <row r="101" spans="1:44" x14ac:dyDescent="0.3">
      <c r="B101" s="109" t="s">
        <v>457</v>
      </c>
      <c r="C101" t="s">
        <v>458</v>
      </c>
      <c r="D101" s="85" t="s">
        <v>370</v>
      </c>
      <c r="E101" s="85">
        <f t="shared" si="74"/>
        <v>0</v>
      </c>
      <c r="F101" s="85">
        <f t="shared" si="75"/>
        <v>1</v>
      </c>
      <c r="G101" s="84" t="s">
        <v>459</v>
      </c>
      <c r="H101" s="85">
        <v>5</v>
      </c>
      <c r="I101" s="85"/>
      <c r="J101" s="84" t="s">
        <v>325</v>
      </c>
      <c r="K101" s="84" t="s">
        <v>55</v>
      </c>
      <c r="L101" s="146">
        <v>0</v>
      </c>
      <c r="M101" s="96" t="s">
        <v>36</v>
      </c>
      <c r="N101" s="85"/>
      <c r="O101" s="163">
        <v>919</v>
      </c>
      <c r="P101" s="113">
        <f t="shared" si="76"/>
        <v>368</v>
      </c>
      <c r="Q101" s="85">
        <f t="shared" si="73"/>
        <v>1106</v>
      </c>
      <c r="R101" s="57" t="s">
        <v>460</v>
      </c>
      <c r="S101" s="154">
        <v>4</v>
      </c>
      <c r="T101" s="154">
        <f t="shared" si="77"/>
        <v>55</v>
      </c>
      <c r="U101" s="172" t="str">
        <f t="shared" ref="U101:U107" si="80">IF(V101=1,$AD$2,IF(V101=2,$AD$1,IF(AND(V101&lt;&gt;1,V101&lt;&gt;20)=TRUE,$AD$3)))</f>
        <v>PAYPAL</v>
      </c>
      <c r="V101" s="97">
        <v>2</v>
      </c>
      <c r="W101" s="90" t="s">
        <v>351</v>
      </c>
      <c r="X101" s="154">
        <f t="shared" si="78"/>
        <v>1474</v>
      </c>
      <c r="Y101" s="154"/>
      <c r="Z101" s="113">
        <f t="shared" ref="Z101:Z107" si="81">IF(W101=$Z$1,Q101-500,0)</f>
        <v>0</v>
      </c>
      <c r="AA101" s="113">
        <f t="shared" ref="AA101:AA107" si="82">IF(H101&gt;0,130,0)</f>
        <v>130</v>
      </c>
      <c r="AB101" s="113"/>
      <c r="AC101" s="155">
        <f t="shared" si="79"/>
        <v>844</v>
      </c>
      <c r="AD101" s="113"/>
      <c r="AE101" s="113">
        <f t="shared" ref="AE101:AE107" si="83">IF(H101&gt;0,30*F101,0)</f>
        <v>30</v>
      </c>
      <c r="AF101" s="113">
        <f>IF(AG101&gt;0,AG49:AG101,0)</f>
        <v>814</v>
      </c>
      <c r="AG101" s="113">
        <f>AC101-AE101</f>
        <v>814</v>
      </c>
      <c r="AI101">
        <f>IF(S101=1,O101-T101,0)</f>
        <v>0</v>
      </c>
      <c r="AJ101">
        <f>IF(S101=2,O101-T101,0)</f>
        <v>0</v>
      </c>
      <c r="AK101">
        <f>IF(S101=3,O101-T101,0)</f>
        <v>0</v>
      </c>
      <c r="AL101">
        <f>IF(S101=4,O101-T101,0)</f>
        <v>864</v>
      </c>
      <c r="AN101">
        <f>IF(S101=1,O101-T101,0)</f>
        <v>0</v>
      </c>
      <c r="AO101">
        <f>IF(S101=2,O101-T101,0)</f>
        <v>0</v>
      </c>
      <c r="AP101">
        <f>IF(S101=3,O101-T101,0)</f>
        <v>0</v>
      </c>
      <c r="AQ101">
        <f>IF(S101=4,O101-T101,0)</f>
        <v>864</v>
      </c>
    </row>
    <row r="102" spans="1:44" s="84" customFormat="1" x14ac:dyDescent="0.3">
      <c r="B102" s="103" t="s">
        <v>82</v>
      </c>
      <c r="C102" s="86" t="s">
        <v>42</v>
      </c>
      <c r="D102" s="84" t="s">
        <v>42</v>
      </c>
      <c r="E102" s="84">
        <f t="shared" si="74"/>
        <v>4</v>
      </c>
      <c r="F102" s="84">
        <f t="shared" si="75"/>
        <v>0</v>
      </c>
      <c r="G102" s="84" t="s">
        <v>291</v>
      </c>
      <c r="H102" s="85">
        <v>4</v>
      </c>
      <c r="I102" s="85"/>
      <c r="J102" s="84" t="s">
        <v>63</v>
      </c>
      <c r="K102" s="84" t="s">
        <v>55</v>
      </c>
      <c r="L102" s="90">
        <v>3</v>
      </c>
      <c r="M102" s="96" t="s">
        <v>36</v>
      </c>
      <c r="O102" s="107">
        <v>0</v>
      </c>
      <c r="P102" s="58">
        <f t="shared" si="76"/>
        <v>0</v>
      </c>
      <c r="Q102" s="84">
        <f t="shared" si="73"/>
        <v>0</v>
      </c>
      <c r="R102" s="57"/>
      <c r="S102" s="89">
        <v>4</v>
      </c>
      <c r="T102" s="89">
        <f t="shared" si="77"/>
        <v>0</v>
      </c>
      <c r="U102" s="87" t="str">
        <f t="shared" si="80"/>
        <v>NONE</v>
      </c>
      <c r="V102" s="97"/>
      <c r="W102" s="90"/>
      <c r="X102" s="89">
        <f t="shared" si="78"/>
        <v>0</v>
      </c>
      <c r="Y102" s="89"/>
      <c r="Z102" s="58">
        <f t="shared" si="81"/>
        <v>0</v>
      </c>
      <c r="AA102" s="58">
        <f t="shared" si="82"/>
        <v>130</v>
      </c>
      <c r="AB102" s="58"/>
      <c r="AC102" s="98">
        <f t="shared" si="79"/>
        <v>-130</v>
      </c>
      <c r="AD102" s="58"/>
      <c r="AE102" s="58">
        <f t="shared" si="83"/>
        <v>0</v>
      </c>
      <c r="AF102" s="58">
        <f>IF(AG102&gt;0,AG69:AG102,0)</f>
        <v>0</v>
      </c>
      <c r="AG102" s="58">
        <f t="shared" si="48"/>
        <v>-130</v>
      </c>
      <c r="AI102">
        <f t="shared" si="49"/>
        <v>0</v>
      </c>
      <c r="AJ102">
        <f t="shared" si="50"/>
        <v>0</v>
      </c>
      <c r="AK102">
        <f t="shared" si="51"/>
        <v>0</v>
      </c>
      <c r="AL102">
        <f t="shared" si="52"/>
        <v>0</v>
      </c>
      <c r="AM102"/>
      <c r="AN102">
        <f t="shared" si="53"/>
        <v>0</v>
      </c>
      <c r="AO102">
        <f t="shared" si="54"/>
        <v>0</v>
      </c>
      <c r="AP102">
        <f t="shared" si="55"/>
        <v>0</v>
      </c>
      <c r="AQ102">
        <f t="shared" si="56"/>
        <v>0</v>
      </c>
    </row>
    <row r="103" spans="1:44" x14ac:dyDescent="0.3">
      <c r="B103" s="168" t="s">
        <v>432</v>
      </c>
      <c r="C103" s="86" t="s">
        <v>42</v>
      </c>
      <c r="D103" s="84" t="s">
        <v>42</v>
      </c>
      <c r="E103" s="84">
        <f t="shared" si="74"/>
        <v>14</v>
      </c>
      <c r="F103" s="84">
        <f t="shared" si="75"/>
        <v>0</v>
      </c>
      <c r="G103" s="84" t="s">
        <v>433</v>
      </c>
      <c r="H103" s="85">
        <v>14</v>
      </c>
      <c r="I103" s="85"/>
      <c r="J103" s="84" t="s">
        <v>434</v>
      </c>
      <c r="K103" s="84" t="s">
        <v>55</v>
      </c>
      <c r="L103" s="90">
        <v>0</v>
      </c>
      <c r="M103" s="96" t="s">
        <v>36</v>
      </c>
      <c r="N103" s="84"/>
      <c r="O103" s="107">
        <v>0</v>
      </c>
      <c r="P103" s="58">
        <f t="shared" si="76"/>
        <v>0</v>
      </c>
      <c r="Q103" s="84">
        <f t="shared" si="73"/>
        <v>0</v>
      </c>
      <c r="R103" s="57"/>
      <c r="S103" s="89"/>
      <c r="T103" s="89">
        <f t="shared" si="77"/>
        <v>0</v>
      </c>
      <c r="U103" s="87" t="str">
        <f t="shared" si="80"/>
        <v>NONE</v>
      </c>
      <c r="V103" s="97"/>
      <c r="W103" s="90"/>
      <c r="X103" s="89">
        <f t="shared" si="78"/>
        <v>0</v>
      </c>
      <c r="Y103" s="89"/>
      <c r="Z103" s="58">
        <f t="shared" si="81"/>
        <v>0</v>
      </c>
      <c r="AA103" s="58">
        <f t="shared" si="82"/>
        <v>130</v>
      </c>
      <c r="AB103" s="58"/>
      <c r="AC103" s="98">
        <f t="shared" si="79"/>
        <v>-130</v>
      </c>
      <c r="AD103" s="58"/>
      <c r="AE103" s="58">
        <f t="shared" si="83"/>
        <v>0</v>
      </c>
      <c r="AF103" s="58">
        <f>IF(AG103&gt;0,AG55:AG103,0)</f>
        <v>0</v>
      </c>
      <c r="AG103" s="58">
        <f>AC103-AE103</f>
        <v>-130</v>
      </c>
      <c r="AI103">
        <f>IF(S103=1,O103-T103,0)</f>
        <v>0</v>
      </c>
      <c r="AJ103">
        <f>IF(S103=2,O103-T103,0)</f>
        <v>0</v>
      </c>
      <c r="AK103">
        <f>IF(S103=3,O103-T103,0)</f>
        <v>0</v>
      </c>
      <c r="AL103">
        <f>IF(S103=4,O103-T103,0)</f>
        <v>0</v>
      </c>
      <c r="AN103">
        <f>IF(S103=1,O103-T103,0)</f>
        <v>0</v>
      </c>
      <c r="AO103">
        <f>IF(S103=2,O103-T103,0)</f>
        <v>0</v>
      </c>
      <c r="AP103">
        <f>IF(S103=3,O103-T103,0)</f>
        <v>0</v>
      </c>
      <c r="AQ103">
        <f>IF(S103=4,O103-T103,0)</f>
        <v>0</v>
      </c>
    </row>
    <row r="104" spans="1:44" x14ac:dyDescent="0.3">
      <c r="B104" s="84" t="s">
        <v>407</v>
      </c>
      <c r="C104" t="s">
        <v>408</v>
      </c>
      <c r="D104" s="84" t="s">
        <v>30</v>
      </c>
      <c r="E104" s="84">
        <f t="shared" si="74"/>
        <v>0</v>
      </c>
      <c r="F104" s="84">
        <f t="shared" si="75"/>
        <v>1</v>
      </c>
      <c r="G104" s="84" t="s">
        <v>409</v>
      </c>
      <c r="H104" s="85">
        <v>9</v>
      </c>
      <c r="I104" s="85"/>
      <c r="J104" s="84" t="s">
        <v>143</v>
      </c>
      <c r="K104" s="84" t="s">
        <v>55</v>
      </c>
      <c r="L104" s="90">
        <v>0</v>
      </c>
      <c r="M104" s="96" t="s">
        <v>36</v>
      </c>
      <c r="N104" s="84"/>
      <c r="O104" s="107">
        <v>1872</v>
      </c>
      <c r="P104" s="164">
        <f t="shared" si="76"/>
        <v>749</v>
      </c>
      <c r="Q104" s="84">
        <f t="shared" si="73"/>
        <v>1716</v>
      </c>
      <c r="R104" s="57" t="s">
        <v>410</v>
      </c>
      <c r="S104" s="89">
        <v>4</v>
      </c>
      <c r="T104" s="89">
        <f t="shared" si="77"/>
        <v>93</v>
      </c>
      <c r="U104" s="87" t="str">
        <f t="shared" si="80"/>
        <v>PAYPAL</v>
      </c>
      <c r="V104" s="97">
        <v>2</v>
      </c>
      <c r="W104" s="90" t="s">
        <v>482</v>
      </c>
      <c r="X104" s="89">
        <f t="shared" si="78"/>
        <v>2465</v>
      </c>
      <c r="Y104" s="89"/>
      <c r="Z104" s="58">
        <f t="shared" si="81"/>
        <v>0</v>
      </c>
      <c r="AA104" s="58">
        <f t="shared" si="82"/>
        <v>130</v>
      </c>
      <c r="AB104" s="58"/>
      <c r="AC104" s="98">
        <f t="shared" si="79"/>
        <v>1835</v>
      </c>
      <c r="AD104" s="58"/>
      <c r="AE104" s="58">
        <f t="shared" si="83"/>
        <v>30</v>
      </c>
      <c r="AF104" s="58">
        <f>IF(AG104&gt;0,AG57:AG105,0)</f>
        <v>1805</v>
      </c>
      <c r="AG104" s="58">
        <f t="shared" si="48"/>
        <v>1805</v>
      </c>
      <c r="AI104">
        <f>IF(S104=1,O104,0)</f>
        <v>0</v>
      </c>
      <c r="AJ104">
        <f>IF(S104=2,O104,0)</f>
        <v>0</v>
      </c>
      <c r="AK104">
        <f>IF(S104=3,O104,0)</f>
        <v>0</v>
      </c>
      <c r="AL104">
        <f>IF(S104=4,O104,0)</f>
        <v>1872</v>
      </c>
      <c r="AN104">
        <f>IF(S104=1,O104,0)</f>
        <v>0</v>
      </c>
      <c r="AO104">
        <f>IF(S104=2,O104,0)</f>
        <v>0</v>
      </c>
      <c r="AP104">
        <f>IF(S104=3,O104,0)</f>
        <v>0</v>
      </c>
      <c r="AQ104">
        <f>IF(S104=4,O104,0)</f>
        <v>1872</v>
      </c>
    </row>
    <row r="105" spans="1:44" x14ac:dyDescent="0.3">
      <c r="B105" s="84" t="s">
        <v>396</v>
      </c>
      <c r="C105" t="s">
        <v>397</v>
      </c>
      <c r="D105" s="84" t="s">
        <v>30</v>
      </c>
      <c r="E105" s="84">
        <f t="shared" si="74"/>
        <v>0</v>
      </c>
      <c r="F105" s="84">
        <f t="shared" si="75"/>
        <v>1</v>
      </c>
      <c r="G105" s="84" t="s">
        <v>398</v>
      </c>
      <c r="H105" s="85">
        <v>5</v>
      </c>
      <c r="I105" s="85"/>
      <c r="J105" s="84" t="s">
        <v>399</v>
      </c>
      <c r="K105" s="84" t="s">
        <v>55</v>
      </c>
      <c r="L105" s="90">
        <v>0</v>
      </c>
      <c r="M105" s="96" t="s">
        <v>36</v>
      </c>
      <c r="N105" s="84"/>
      <c r="O105" s="107">
        <v>1111</v>
      </c>
      <c r="P105" s="58">
        <f t="shared" si="76"/>
        <v>444</v>
      </c>
      <c r="Q105" s="84">
        <f t="shared" si="73"/>
        <v>1230</v>
      </c>
      <c r="R105" s="57" t="s">
        <v>400</v>
      </c>
      <c r="S105" s="89">
        <v>4</v>
      </c>
      <c r="T105" s="89">
        <f t="shared" si="77"/>
        <v>63</v>
      </c>
      <c r="U105" s="87" t="str">
        <f t="shared" si="80"/>
        <v>PAYPAL</v>
      </c>
      <c r="V105" s="97">
        <v>2</v>
      </c>
      <c r="W105" s="90" t="s">
        <v>487</v>
      </c>
      <c r="X105" s="89">
        <f t="shared" si="78"/>
        <v>1674</v>
      </c>
      <c r="Y105" s="89"/>
      <c r="Z105" s="58">
        <f t="shared" si="81"/>
        <v>0</v>
      </c>
      <c r="AA105" s="58">
        <f t="shared" si="82"/>
        <v>130</v>
      </c>
      <c r="AB105" s="58"/>
      <c r="AC105" s="98">
        <f t="shared" si="79"/>
        <v>1044</v>
      </c>
      <c r="AD105" s="58"/>
      <c r="AE105" s="58">
        <f t="shared" si="83"/>
        <v>30</v>
      </c>
      <c r="AF105" s="58">
        <f>IF(AG105&gt;0,AG56:AG105,0)</f>
        <v>1014</v>
      </c>
      <c r="AG105" s="58">
        <f t="shared" si="48"/>
        <v>1014</v>
      </c>
      <c r="AI105">
        <f t="shared" si="49"/>
        <v>0</v>
      </c>
      <c r="AJ105">
        <f t="shared" si="50"/>
        <v>0</v>
      </c>
      <c r="AK105">
        <f t="shared" si="51"/>
        <v>0</v>
      </c>
      <c r="AL105">
        <f t="shared" si="52"/>
        <v>1111</v>
      </c>
      <c r="AN105">
        <f t="shared" si="53"/>
        <v>0</v>
      </c>
      <c r="AO105">
        <f t="shared" si="54"/>
        <v>0</v>
      </c>
      <c r="AP105">
        <f t="shared" si="55"/>
        <v>0</v>
      </c>
      <c r="AQ105">
        <f t="shared" si="56"/>
        <v>1111</v>
      </c>
    </row>
    <row r="106" spans="1:44" s="84" customFormat="1" x14ac:dyDescent="0.3">
      <c r="B106" s="103" t="s">
        <v>82</v>
      </c>
      <c r="C106" s="86" t="s">
        <v>42</v>
      </c>
      <c r="D106" s="84" t="s">
        <v>42</v>
      </c>
      <c r="E106" s="84">
        <f t="shared" si="74"/>
        <v>4</v>
      </c>
      <c r="F106" s="84">
        <f t="shared" si="75"/>
        <v>0</v>
      </c>
      <c r="G106" s="84" t="s">
        <v>292</v>
      </c>
      <c r="H106" s="85">
        <v>4</v>
      </c>
      <c r="I106" s="85"/>
      <c r="J106" s="84" t="s">
        <v>63</v>
      </c>
      <c r="K106" s="84" t="s">
        <v>55</v>
      </c>
      <c r="L106" s="90">
        <v>3</v>
      </c>
      <c r="M106" s="96" t="s">
        <v>36</v>
      </c>
      <c r="O106" s="107">
        <v>0</v>
      </c>
      <c r="P106" s="58">
        <f t="shared" si="76"/>
        <v>0</v>
      </c>
      <c r="Q106" s="84">
        <f t="shared" si="73"/>
        <v>0</v>
      </c>
      <c r="R106" s="57"/>
      <c r="S106" s="89">
        <v>4</v>
      </c>
      <c r="T106" s="89">
        <f t="shared" si="77"/>
        <v>0</v>
      </c>
      <c r="U106" s="87" t="str">
        <f t="shared" si="80"/>
        <v>NONE</v>
      </c>
      <c r="V106" s="97"/>
      <c r="W106" s="90"/>
      <c r="X106" s="89">
        <f t="shared" si="78"/>
        <v>0</v>
      </c>
      <c r="Y106" s="89"/>
      <c r="Z106" s="58">
        <f t="shared" si="81"/>
        <v>0</v>
      </c>
      <c r="AA106" s="58">
        <f t="shared" si="82"/>
        <v>130</v>
      </c>
      <c r="AB106" s="58"/>
      <c r="AC106" s="98">
        <f t="shared" si="79"/>
        <v>-130</v>
      </c>
      <c r="AD106" s="58"/>
      <c r="AE106" s="58">
        <f t="shared" si="83"/>
        <v>0</v>
      </c>
      <c r="AF106" s="58">
        <f>IF(AG106&gt;0,AG70:AG106,0)</f>
        <v>0</v>
      </c>
      <c r="AG106" s="58">
        <f t="shared" si="48"/>
        <v>-130</v>
      </c>
      <c r="AI106">
        <f t="shared" si="49"/>
        <v>0</v>
      </c>
      <c r="AJ106">
        <f t="shared" si="50"/>
        <v>0</v>
      </c>
      <c r="AK106">
        <f t="shared" si="51"/>
        <v>0</v>
      </c>
      <c r="AL106">
        <f t="shared" si="52"/>
        <v>0</v>
      </c>
      <c r="AM106"/>
      <c r="AN106">
        <f t="shared" si="53"/>
        <v>0</v>
      </c>
      <c r="AO106">
        <f t="shared" si="54"/>
        <v>0</v>
      </c>
      <c r="AP106">
        <f t="shared" si="55"/>
        <v>0</v>
      </c>
      <c r="AQ106">
        <f t="shared" si="56"/>
        <v>0</v>
      </c>
    </row>
    <row r="107" spans="1:44" x14ac:dyDescent="0.3">
      <c r="B107" s="16"/>
      <c r="C107" s="8"/>
      <c r="D107" s="16"/>
      <c r="E107">
        <f t="shared" si="74"/>
        <v>0</v>
      </c>
      <c r="F107">
        <f t="shared" si="75"/>
        <v>1</v>
      </c>
      <c r="G107" s="16"/>
      <c r="H107" s="16">
        <v>0</v>
      </c>
      <c r="I107" s="16"/>
      <c r="J107" s="16"/>
      <c r="M107" s="4"/>
      <c r="O107" s="107">
        <v>0</v>
      </c>
      <c r="P107" s="58">
        <f t="shared" si="76"/>
        <v>0</v>
      </c>
      <c r="Q107" s="84">
        <f t="shared" si="73"/>
        <v>0</v>
      </c>
      <c r="R107" s="57"/>
      <c r="S107" s="89">
        <v>4</v>
      </c>
      <c r="T107" s="89">
        <f t="shared" si="77"/>
        <v>0</v>
      </c>
      <c r="U107" s="87" t="str">
        <f t="shared" si="80"/>
        <v>NONE</v>
      </c>
      <c r="V107" s="97"/>
      <c r="W107" s="90"/>
      <c r="X107" s="89">
        <f t="shared" si="78"/>
        <v>0</v>
      </c>
      <c r="Y107" s="72"/>
      <c r="Z107" s="1">
        <f t="shared" si="81"/>
        <v>0</v>
      </c>
      <c r="AA107" s="1">
        <f t="shared" si="82"/>
        <v>0</v>
      </c>
      <c r="AB107" s="1"/>
      <c r="AC107" s="76">
        <f t="shared" si="79"/>
        <v>0</v>
      </c>
      <c r="AD107" s="1"/>
      <c r="AE107" s="1">
        <f t="shared" si="83"/>
        <v>0</v>
      </c>
      <c r="AF107" s="1">
        <f>IF(AG107&gt;0,AG107,0)</f>
        <v>0</v>
      </c>
      <c r="AG107" s="1">
        <f t="shared" si="48"/>
        <v>0</v>
      </c>
      <c r="AI107">
        <f t="shared" si="49"/>
        <v>0</v>
      </c>
      <c r="AJ107">
        <f t="shared" si="50"/>
        <v>0</v>
      </c>
      <c r="AK107">
        <f t="shared" si="51"/>
        <v>0</v>
      </c>
      <c r="AL107">
        <f t="shared" si="52"/>
        <v>0</v>
      </c>
      <c r="AN107">
        <f t="shared" si="53"/>
        <v>0</v>
      </c>
      <c r="AO107">
        <f t="shared" si="54"/>
        <v>0</v>
      </c>
      <c r="AP107">
        <f t="shared" si="55"/>
        <v>0</v>
      </c>
      <c r="AQ107">
        <f t="shared" si="56"/>
        <v>0</v>
      </c>
    </row>
    <row r="108" spans="1:44" x14ac:dyDescent="0.3">
      <c r="A108" s="45"/>
      <c r="B108" s="192">
        <f>COUNTIFS(D75:D107,"&lt;&gt;NA")-COUNTIFS(D75:D107,"="&amp;$D$1)</f>
        <v>22</v>
      </c>
      <c r="C108" s="174" t="s">
        <v>472</v>
      </c>
      <c r="D108" s="46">
        <f>SUM(E75:E107)</f>
        <v>105</v>
      </c>
      <c r="E108" s="46"/>
      <c r="F108" s="46"/>
      <c r="G108" s="63" t="s">
        <v>215</v>
      </c>
      <c r="H108" s="62">
        <f>SUM(H75:H107)-SUM(E75:E107)</f>
        <v>241</v>
      </c>
      <c r="I108" s="62"/>
      <c r="J108" s="61">
        <f>ROUND(H108/7,0)</f>
        <v>34</v>
      </c>
      <c r="K108" s="61" t="s">
        <v>214</v>
      </c>
      <c r="L108" s="63" t="s">
        <v>216</v>
      </c>
      <c r="M108" s="151">
        <f>ROUND(AF108/J108,0)</f>
        <v>1269</v>
      </c>
      <c r="N108" s="45"/>
      <c r="O108" s="82">
        <f>SUM(O75:O107)</f>
        <v>45928</v>
      </c>
      <c r="P108" s="49"/>
      <c r="Q108" s="80">
        <f>Z108</f>
        <v>0</v>
      </c>
      <c r="R108" s="79" t="s">
        <v>254</v>
      </c>
      <c r="S108" s="126"/>
      <c r="T108" s="73"/>
      <c r="U108" s="48"/>
      <c r="V108" s="48"/>
      <c r="W108" s="47"/>
      <c r="X108" s="49"/>
      <c r="Y108" s="49">
        <f>Z108</f>
        <v>0</v>
      </c>
      <c r="Z108" s="49">
        <f>SUM(Z75:Z107)</f>
        <v>0</v>
      </c>
      <c r="AA108" s="49">
        <f>SUM(AA75:AA107)</f>
        <v>4160</v>
      </c>
      <c r="AB108" s="49">
        <f>AA108</f>
        <v>4160</v>
      </c>
      <c r="AC108" s="45"/>
      <c r="AD108" s="49"/>
      <c r="AE108" s="49">
        <f>SUM(AE75:AE107)</f>
        <v>660</v>
      </c>
      <c r="AF108" s="49">
        <f>SUM(AF75:AF107)</f>
        <v>43154</v>
      </c>
      <c r="AG108" s="82">
        <f>SUM(AG75:AG107)</f>
        <v>42830</v>
      </c>
      <c r="AH108" s="45">
        <f>AG108</f>
        <v>42830</v>
      </c>
      <c r="AI108" s="129">
        <f>SUM(AI75:AI107)</f>
        <v>7426</v>
      </c>
      <c r="AJ108" s="129">
        <f>SUM(AJ75:AJ107)</f>
        <v>12791</v>
      </c>
      <c r="AK108" s="129">
        <f>SUM(AK75:AK107)</f>
        <v>15050</v>
      </c>
      <c r="AL108" s="129">
        <f>SUM(AL75:AL107)</f>
        <v>10606</v>
      </c>
      <c r="AM108" s="131">
        <f>SUM(AI108:AL108)</f>
        <v>45873</v>
      </c>
      <c r="AN108" s="129">
        <f>SUM(AN75:AN107)</f>
        <v>7426</v>
      </c>
      <c r="AO108" s="129">
        <f>SUM(AO75:AO107)</f>
        <v>12791</v>
      </c>
      <c r="AP108" s="129">
        <f>SUM(AP75:AP107)</f>
        <v>15050</v>
      </c>
      <c r="AQ108" s="129">
        <f>SUM(AQ75:AQ107)</f>
        <v>10606</v>
      </c>
      <c r="AR108" s="131">
        <f>SUM(AN108:AQ108)</f>
        <v>45873</v>
      </c>
    </row>
    <row r="109" spans="1:44" ht="23.4" x14ac:dyDescent="0.45">
      <c r="A109" s="31"/>
      <c r="B109" s="28">
        <v>2013</v>
      </c>
      <c r="C109" s="29"/>
      <c r="D109" s="30"/>
      <c r="E109" s="30"/>
      <c r="F109" s="30"/>
      <c r="G109" s="30"/>
      <c r="H109" s="30"/>
      <c r="I109" s="30"/>
      <c r="J109" s="30"/>
      <c r="K109" s="31"/>
      <c r="L109" s="32"/>
      <c r="M109" s="33"/>
      <c r="N109" s="31"/>
      <c r="O109" s="34"/>
      <c r="P109" s="34"/>
      <c r="Q109" s="31"/>
      <c r="R109" s="35"/>
      <c r="S109" s="71"/>
      <c r="T109" s="71"/>
      <c r="U109" s="36"/>
      <c r="V109" s="70"/>
      <c r="W109" s="32"/>
      <c r="X109" s="34"/>
      <c r="Y109" s="34"/>
      <c r="Z109" s="34"/>
      <c r="AA109" s="34"/>
      <c r="AB109" s="34"/>
      <c r="AC109" s="31"/>
      <c r="AD109" s="34"/>
      <c r="AE109" s="34"/>
      <c r="AF109" s="34"/>
      <c r="AG109" s="34"/>
      <c r="AI109" s="119">
        <f>ROUNDUP(AI108*0.04,0)</f>
        <v>298</v>
      </c>
      <c r="AJ109" s="119">
        <f>ROUNDUP(AJ108*0.04,0)</f>
        <v>512</v>
      </c>
      <c r="AK109" s="119">
        <f>ROUNDUP(AK108*0.04,0)</f>
        <v>602</v>
      </c>
      <c r="AL109" s="119">
        <f>ROUNDUP(AL108*0.04,0)</f>
        <v>425</v>
      </c>
      <c r="AM109" s="131">
        <f>SUM(AI109:AL109)</f>
        <v>1837</v>
      </c>
      <c r="AN109" s="119">
        <f>ROUNDUP(AN108*0.06,0)</f>
        <v>446</v>
      </c>
      <c r="AO109" s="119">
        <f>ROUNDUP(AO108*0.06,0)</f>
        <v>768</v>
      </c>
      <c r="AP109" s="119">
        <f>ROUNDUP(AP108*0.06,0)</f>
        <v>903</v>
      </c>
      <c r="AQ109" s="119">
        <f>ROUNDUP(AQ108*0.06,0)</f>
        <v>637</v>
      </c>
      <c r="AR109" s="131">
        <f>SUM(AN109:AQ109)</f>
        <v>2754</v>
      </c>
    </row>
    <row r="110" spans="1:44" s="84" customFormat="1" ht="18" customHeight="1" x14ac:dyDescent="0.3">
      <c r="B110" s="103" t="s">
        <v>82</v>
      </c>
      <c r="C110" s="86" t="s">
        <v>42</v>
      </c>
      <c r="D110" s="85" t="s">
        <v>42</v>
      </c>
      <c r="E110" s="84">
        <f t="shared" ref="E110:E141" si="84">IF(D110=$B$12,H110,0)</f>
        <v>58</v>
      </c>
      <c r="F110" s="84">
        <f t="shared" ref="F110:F141" si="85">IF(E110&gt;0,0,1)</f>
        <v>0</v>
      </c>
      <c r="G110" s="108" t="s">
        <v>477</v>
      </c>
      <c r="H110" s="85">
        <f>31+27</f>
        <v>58</v>
      </c>
      <c r="I110" s="85"/>
      <c r="J110" t="s">
        <v>143</v>
      </c>
      <c r="K110" s="84" t="s">
        <v>55</v>
      </c>
      <c r="L110" s="90">
        <v>3</v>
      </c>
      <c r="M110" s="4" t="s">
        <v>387</v>
      </c>
      <c r="O110" s="107">
        <v>0</v>
      </c>
      <c r="P110" s="58">
        <f t="shared" ref="P110:P141" si="86">ROUND((O110*0.4),0)</f>
        <v>0</v>
      </c>
      <c r="Q110" s="84">
        <f t="shared" ref="Q110:Q141" si="87">IF(O110&gt;0,((O110+500)-P110)+T110,0)</f>
        <v>0</v>
      </c>
      <c r="R110" s="57"/>
      <c r="S110" s="89"/>
      <c r="T110" s="89">
        <f>IF(U110=$AD$2,47,IF(U110=$AD$1,ROUND(((O110+500)*0.039),0),IF(U110=$AD$3,0)))</f>
        <v>0</v>
      </c>
      <c r="U110" s="87" t="str">
        <f t="shared" ref="U110:U141" si="88">IF(V110=1,$AD$2,IF(V110=2,$AD$1,IF(AND(V110&lt;&gt;1,V110&lt;&gt;20)=TRUE,$AD$3)))</f>
        <v>NONE</v>
      </c>
      <c r="V110" s="97"/>
      <c r="W110" s="90"/>
      <c r="X110" s="89">
        <f t="shared" ref="X110:X141" si="89">Q110+P110</f>
        <v>0</v>
      </c>
      <c r="Y110" s="89"/>
      <c r="Z110" s="58">
        <f t="shared" ref="Z110:Z141" si="90">IF(W110=$Z$1,Q110-500,0)</f>
        <v>0</v>
      </c>
      <c r="AA110" s="58">
        <f t="shared" ref="AA110:AA141" si="91">IF(H110&gt;0,130,0)</f>
        <v>130</v>
      </c>
      <c r="AB110" s="58"/>
      <c r="AC110" s="98">
        <f t="shared" ref="AC110:AC141" si="92">(O110+T110)-AA110</f>
        <v>-130</v>
      </c>
      <c r="AD110" s="58"/>
      <c r="AE110" s="58">
        <f t="shared" ref="AE110:AE141" si="93">IF(H110&gt;0,30*F110,0)</f>
        <v>0</v>
      </c>
      <c r="AF110" s="58">
        <f>IF(AG110&gt;0,AG60:AG110,0)</f>
        <v>0</v>
      </c>
      <c r="AG110" s="58">
        <f t="shared" ref="AG110:AG141" si="94">AC110-AE110</f>
        <v>-130</v>
      </c>
      <c r="AI110">
        <f t="shared" ref="AI110:AI141" si="95">IF(S110=1,O110-T110,0)</f>
        <v>0</v>
      </c>
      <c r="AJ110">
        <f t="shared" ref="AJ110:AJ141" si="96">IF(S110=2,O110-T110,0)</f>
        <v>0</v>
      </c>
      <c r="AK110">
        <f t="shared" ref="AK110:AK141" si="97">IF(S110=3,O110-T110,0)</f>
        <v>0</v>
      </c>
      <c r="AL110">
        <f t="shared" ref="AL110:AL141" si="98">IF(S110=4,O110-T110,0)</f>
        <v>0</v>
      </c>
      <c r="AM110"/>
      <c r="AN110">
        <f t="shared" ref="AN110:AN141" si="99">IF(S110=1,O110-T110,0)</f>
        <v>0</v>
      </c>
      <c r="AO110">
        <f t="shared" ref="AO110:AO141" si="100">IF(S110=2,O110-T110,0)</f>
        <v>0</v>
      </c>
      <c r="AP110">
        <f t="shared" ref="AP110:AP141" si="101">IF(S110=3,O110-T110,0)</f>
        <v>0</v>
      </c>
      <c r="AQ110">
        <f t="shared" ref="AQ110:AQ141" si="102">IF(S110=4,O110-T110,0)</f>
        <v>0</v>
      </c>
    </row>
    <row r="111" spans="1:44" s="84" customFormat="1" x14ac:dyDescent="0.3">
      <c r="B111" s="103" t="s">
        <v>82</v>
      </c>
      <c r="C111" s="86" t="s">
        <v>42</v>
      </c>
      <c r="D111" s="85" t="s">
        <v>42</v>
      </c>
      <c r="E111" s="84">
        <f t="shared" si="84"/>
        <v>3</v>
      </c>
      <c r="F111" s="84">
        <f t="shared" si="85"/>
        <v>0</v>
      </c>
      <c r="G111" s="108" t="s">
        <v>476</v>
      </c>
      <c r="H111" s="85">
        <v>3</v>
      </c>
      <c r="I111" s="85"/>
      <c r="J111" s="84" t="s">
        <v>143</v>
      </c>
      <c r="K111" s="84" t="s">
        <v>55</v>
      </c>
      <c r="L111" s="90">
        <v>3</v>
      </c>
      <c r="M111" s="96" t="s">
        <v>36</v>
      </c>
      <c r="O111" s="107">
        <v>0</v>
      </c>
      <c r="P111" s="58">
        <f t="shared" si="86"/>
        <v>0</v>
      </c>
      <c r="Q111" s="84">
        <f t="shared" si="87"/>
        <v>0</v>
      </c>
      <c r="R111" s="57"/>
      <c r="S111" s="89"/>
      <c r="T111" s="89">
        <f>IF(U111=$AD$2,47,IF(U111=$AD$1,ROUND(((O111+500)*0.039),0),IF(U111=$AD$3,0)))</f>
        <v>0</v>
      </c>
      <c r="U111" s="87" t="str">
        <f t="shared" si="88"/>
        <v>NONE</v>
      </c>
      <c r="V111" s="97"/>
      <c r="W111" s="90"/>
      <c r="X111" s="89">
        <f t="shared" si="89"/>
        <v>0</v>
      </c>
      <c r="Y111" s="89"/>
      <c r="Z111" s="58">
        <f t="shared" si="90"/>
        <v>0</v>
      </c>
      <c r="AA111" s="58">
        <f t="shared" si="91"/>
        <v>130</v>
      </c>
      <c r="AB111" s="58"/>
      <c r="AC111" s="98">
        <f t="shared" si="92"/>
        <v>-130</v>
      </c>
      <c r="AD111" s="58"/>
      <c r="AE111" s="58">
        <f t="shared" si="93"/>
        <v>0</v>
      </c>
      <c r="AF111" s="58">
        <f>IF(AG111&gt;0,AG61:AG111,0)</f>
        <v>0</v>
      </c>
      <c r="AG111" s="58">
        <f t="shared" si="94"/>
        <v>-130</v>
      </c>
      <c r="AI111">
        <f t="shared" si="95"/>
        <v>0</v>
      </c>
      <c r="AJ111">
        <f t="shared" si="96"/>
        <v>0</v>
      </c>
      <c r="AK111">
        <f t="shared" si="97"/>
        <v>0</v>
      </c>
      <c r="AL111">
        <f t="shared" si="98"/>
        <v>0</v>
      </c>
      <c r="AM111"/>
      <c r="AN111">
        <f t="shared" si="99"/>
        <v>0</v>
      </c>
      <c r="AO111">
        <f t="shared" si="100"/>
        <v>0</v>
      </c>
      <c r="AP111">
        <f t="shared" si="101"/>
        <v>0</v>
      </c>
      <c r="AQ111">
        <f t="shared" si="102"/>
        <v>0</v>
      </c>
    </row>
    <row r="112" spans="1:44" s="84" customFormat="1" x14ac:dyDescent="0.3">
      <c r="B112" s="161" t="s">
        <v>404</v>
      </c>
      <c r="C112" t="s">
        <v>405</v>
      </c>
      <c r="D112" s="84" t="s">
        <v>30</v>
      </c>
      <c r="E112" s="84">
        <f t="shared" si="84"/>
        <v>0</v>
      </c>
      <c r="F112" s="84">
        <f t="shared" si="85"/>
        <v>1</v>
      </c>
      <c r="G112" s="148" t="s">
        <v>403</v>
      </c>
      <c r="H112" s="85">
        <v>12</v>
      </c>
      <c r="I112" s="85"/>
      <c r="J112" s="148" t="s">
        <v>74</v>
      </c>
      <c r="K112" s="84" t="s">
        <v>55</v>
      </c>
      <c r="L112" s="90">
        <v>3</v>
      </c>
      <c r="M112" s="96" t="s">
        <v>36</v>
      </c>
      <c r="O112" s="107">
        <f>2335+110</f>
        <v>2445</v>
      </c>
      <c r="P112" s="58">
        <f t="shared" si="86"/>
        <v>978</v>
      </c>
      <c r="Q112" s="84">
        <f t="shared" si="87"/>
        <v>2082</v>
      </c>
      <c r="R112" s="57" t="s">
        <v>406</v>
      </c>
      <c r="S112" s="89">
        <v>1</v>
      </c>
      <c r="T112" s="89">
        <f>IF(U112=$AD$2,47,IF(U112=$AD$1,ROUND(((O112+500)*0.039),0),IF(U112=$AD$3,0)))</f>
        <v>115</v>
      </c>
      <c r="U112" s="87" t="str">
        <f t="shared" si="88"/>
        <v>PAYPAL</v>
      </c>
      <c r="V112" s="97">
        <v>2</v>
      </c>
      <c r="W112" s="90" t="s">
        <v>528</v>
      </c>
      <c r="X112" s="89">
        <f t="shared" si="89"/>
        <v>3060</v>
      </c>
      <c r="Y112" s="89"/>
      <c r="Z112" s="58">
        <f t="shared" si="90"/>
        <v>0</v>
      </c>
      <c r="AA112" s="58">
        <f t="shared" si="91"/>
        <v>130</v>
      </c>
      <c r="AB112" s="58"/>
      <c r="AC112" s="98">
        <f t="shared" si="92"/>
        <v>2430</v>
      </c>
      <c r="AD112" s="58"/>
      <c r="AE112" s="58">
        <f t="shared" si="93"/>
        <v>30</v>
      </c>
      <c r="AF112" s="58">
        <f>IF(AG112&gt;0,AG68:AG112,0)</f>
        <v>2400</v>
      </c>
      <c r="AG112" s="58">
        <f t="shared" si="94"/>
        <v>2400</v>
      </c>
      <c r="AI112">
        <f t="shared" si="95"/>
        <v>2330</v>
      </c>
      <c r="AJ112">
        <f t="shared" si="96"/>
        <v>0</v>
      </c>
      <c r="AK112">
        <f t="shared" si="97"/>
        <v>0</v>
      </c>
      <c r="AL112">
        <f t="shared" si="98"/>
        <v>0</v>
      </c>
      <c r="AM112"/>
      <c r="AN112">
        <f t="shared" si="99"/>
        <v>2330</v>
      </c>
      <c r="AO112">
        <f t="shared" si="100"/>
        <v>0</v>
      </c>
      <c r="AP112">
        <f t="shared" si="101"/>
        <v>0</v>
      </c>
      <c r="AQ112">
        <f t="shared" si="102"/>
        <v>0</v>
      </c>
    </row>
    <row r="113" spans="2:43" s="84" customFormat="1" x14ac:dyDescent="0.3">
      <c r="B113" s="148" t="s">
        <v>533</v>
      </c>
      <c r="C113" t="s">
        <v>380</v>
      </c>
      <c r="D113" s="84" t="s">
        <v>370</v>
      </c>
      <c r="E113" s="84">
        <f t="shared" si="84"/>
        <v>0</v>
      </c>
      <c r="F113" s="84">
        <f t="shared" si="85"/>
        <v>1</v>
      </c>
      <c r="G113" s="85" t="s">
        <v>379</v>
      </c>
      <c r="H113" s="85">
        <v>10</v>
      </c>
      <c r="I113" s="85"/>
      <c r="J113" s="84" t="s">
        <v>378</v>
      </c>
      <c r="K113" s="84" t="s">
        <v>55</v>
      </c>
      <c r="L113" s="90">
        <v>0</v>
      </c>
      <c r="M113" s="96" t="s">
        <v>36</v>
      </c>
      <c r="O113" s="107">
        <v>2335</v>
      </c>
      <c r="P113" s="58">
        <f t="shared" si="86"/>
        <v>934</v>
      </c>
      <c r="Q113" s="84">
        <f t="shared" si="87"/>
        <v>1983</v>
      </c>
      <c r="R113" s="57" t="s">
        <v>382</v>
      </c>
      <c r="S113" s="89">
        <v>1</v>
      </c>
      <c r="T113" s="89">
        <f>IF(U113=$AD$2,47,IF(U113=$AD$1,ROUND(((O113+500)*0.029),0),IF(U113=$AD$3,0)))</f>
        <v>82</v>
      </c>
      <c r="U113" s="87" t="str">
        <f t="shared" si="88"/>
        <v>PAYPAL</v>
      </c>
      <c r="V113" s="97">
        <v>2</v>
      </c>
      <c r="W113" s="183" t="s">
        <v>534</v>
      </c>
      <c r="X113" s="89">
        <f t="shared" si="89"/>
        <v>2917</v>
      </c>
      <c r="Y113" s="89"/>
      <c r="Z113" s="58">
        <f t="shared" si="90"/>
        <v>0</v>
      </c>
      <c r="AA113" s="58">
        <f t="shared" si="91"/>
        <v>130</v>
      </c>
      <c r="AB113" s="58"/>
      <c r="AC113" s="98">
        <f t="shared" si="92"/>
        <v>2287</v>
      </c>
      <c r="AD113" s="58"/>
      <c r="AE113" s="58">
        <f t="shared" si="93"/>
        <v>30</v>
      </c>
      <c r="AF113" s="58">
        <f>IF(AG113&gt;0,AG62:AG113,0)</f>
        <v>2257</v>
      </c>
      <c r="AG113" s="58">
        <f t="shared" si="94"/>
        <v>2257</v>
      </c>
      <c r="AI113">
        <f t="shared" si="95"/>
        <v>2253</v>
      </c>
      <c r="AJ113">
        <f t="shared" si="96"/>
        <v>0</v>
      </c>
      <c r="AK113">
        <f t="shared" si="97"/>
        <v>0</v>
      </c>
      <c r="AL113">
        <f t="shared" si="98"/>
        <v>0</v>
      </c>
      <c r="AM113"/>
      <c r="AN113">
        <f t="shared" si="99"/>
        <v>2253</v>
      </c>
      <c r="AO113">
        <f t="shared" si="100"/>
        <v>0</v>
      </c>
      <c r="AP113">
        <f t="shared" si="101"/>
        <v>0</v>
      </c>
      <c r="AQ113">
        <f t="shared" si="102"/>
        <v>0</v>
      </c>
    </row>
    <row r="114" spans="2:43" s="84" customFormat="1" x14ac:dyDescent="0.3">
      <c r="B114" s="86"/>
      <c r="C114" s="86"/>
      <c r="D114" s="85"/>
      <c r="E114" s="84">
        <f t="shared" si="84"/>
        <v>0</v>
      </c>
      <c r="F114" s="84">
        <f t="shared" si="85"/>
        <v>1</v>
      </c>
      <c r="G114" s="85"/>
      <c r="H114" s="85"/>
      <c r="I114" s="85"/>
      <c r="J114" s="85"/>
      <c r="L114" s="90"/>
      <c r="M114" s="96"/>
      <c r="O114" s="107">
        <v>0</v>
      </c>
      <c r="P114" s="58">
        <f t="shared" si="86"/>
        <v>0</v>
      </c>
      <c r="Q114" s="84">
        <f t="shared" si="87"/>
        <v>0</v>
      </c>
      <c r="R114" s="57"/>
      <c r="S114" s="89"/>
      <c r="T114" s="89">
        <f t="shared" ref="T114:T141" si="103">IF(U114=$AD$2,47,IF(U114=$AD$1,ROUND(((O114+500)*0.039),0),IF(U114=$AD$3,0)))</f>
        <v>0</v>
      </c>
      <c r="U114" s="87" t="str">
        <f t="shared" si="88"/>
        <v>NONE</v>
      </c>
      <c r="V114" s="97"/>
      <c r="W114" s="90"/>
      <c r="X114" s="89">
        <f t="shared" si="89"/>
        <v>0</v>
      </c>
      <c r="Y114" s="89"/>
      <c r="Z114" s="58">
        <f t="shared" si="90"/>
        <v>0</v>
      </c>
      <c r="AA114" s="58">
        <f t="shared" si="91"/>
        <v>0</v>
      </c>
      <c r="AB114" s="58"/>
      <c r="AC114" s="98">
        <f t="shared" si="92"/>
        <v>0</v>
      </c>
      <c r="AD114" s="58"/>
      <c r="AE114" s="58">
        <f t="shared" si="93"/>
        <v>0</v>
      </c>
      <c r="AF114" s="58">
        <f>IF(AG114&gt;0,AG63:AG114,0)</f>
        <v>0</v>
      </c>
      <c r="AG114" s="58">
        <f t="shared" si="94"/>
        <v>0</v>
      </c>
      <c r="AI114">
        <f t="shared" si="95"/>
        <v>0</v>
      </c>
      <c r="AJ114">
        <f t="shared" si="96"/>
        <v>0</v>
      </c>
      <c r="AK114">
        <f t="shared" si="97"/>
        <v>0</v>
      </c>
      <c r="AL114">
        <f t="shared" si="98"/>
        <v>0</v>
      </c>
      <c r="AM114"/>
      <c r="AN114">
        <f t="shared" si="99"/>
        <v>0</v>
      </c>
      <c r="AO114">
        <f t="shared" si="100"/>
        <v>0</v>
      </c>
      <c r="AP114">
        <f t="shared" si="101"/>
        <v>0</v>
      </c>
      <c r="AQ114">
        <f t="shared" si="102"/>
        <v>0</v>
      </c>
    </row>
    <row r="115" spans="2:43" s="84" customFormat="1" x14ac:dyDescent="0.3">
      <c r="B115" s="103" t="s">
        <v>82</v>
      </c>
      <c r="C115" s="86" t="s">
        <v>42</v>
      </c>
      <c r="D115" s="85" t="s">
        <v>42</v>
      </c>
      <c r="E115" s="84">
        <f t="shared" si="84"/>
        <v>3</v>
      </c>
      <c r="F115" s="84">
        <f t="shared" si="85"/>
        <v>0</v>
      </c>
      <c r="G115" s="108" t="s">
        <v>478</v>
      </c>
      <c r="H115" s="85">
        <v>3</v>
      </c>
      <c r="I115" s="85"/>
      <c r="J115" s="84" t="s">
        <v>143</v>
      </c>
      <c r="K115" s="84" t="s">
        <v>55</v>
      </c>
      <c r="L115" s="90">
        <v>3</v>
      </c>
      <c r="M115" s="96" t="s">
        <v>36</v>
      </c>
      <c r="O115" s="107">
        <v>0</v>
      </c>
      <c r="P115" s="58">
        <f t="shared" si="86"/>
        <v>0</v>
      </c>
      <c r="Q115" s="84">
        <f t="shared" si="87"/>
        <v>0</v>
      </c>
      <c r="R115" s="57"/>
      <c r="S115" s="89"/>
      <c r="T115" s="89">
        <f t="shared" si="103"/>
        <v>0</v>
      </c>
      <c r="U115" s="87" t="str">
        <f t="shared" si="88"/>
        <v>NONE</v>
      </c>
      <c r="V115" s="97"/>
      <c r="W115" s="90"/>
      <c r="X115" s="89">
        <f t="shared" si="89"/>
        <v>0</v>
      </c>
      <c r="Y115" s="89"/>
      <c r="Z115" s="58">
        <f t="shared" si="90"/>
        <v>0</v>
      </c>
      <c r="AA115" s="58">
        <f t="shared" si="91"/>
        <v>130</v>
      </c>
      <c r="AB115" s="58"/>
      <c r="AC115" s="98">
        <f t="shared" si="92"/>
        <v>-130</v>
      </c>
      <c r="AD115" s="58"/>
      <c r="AE115" s="58">
        <f t="shared" si="93"/>
        <v>0</v>
      </c>
      <c r="AF115" s="58">
        <f>IF(AG115&gt;0,AG64:AG115,0)</f>
        <v>0</v>
      </c>
      <c r="AG115" s="58">
        <f t="shared" si="94"/>
        <v>-130</v>
      </c>
      <c r="AI115">
        <f t="shared" si="95"/>
        <v>0</v>
      </c>
      <c r="AJ115">
        <f t="shared" si="96"/>
        <v>0</v>
      </c>
      <c r="AK115">
        <f t="shared" si="97"/>
        <v>0</v>
      </c>
      <c r="AL115">
        <f t="shared" si="98"/>
        <v>0</v>
      </c>
      <c r="AM115"/>
      <c r="AN115">
        <f t="shared" si="99"/>
        <v>0</v>
      </c>
      <c r="AO115">
        <f t="shared" si="100"/>
        <v>0</v>
      </c>
      <c r="AP115">
        <f t="shared" si="101"/>
        <v>0</v>
      </c>
      <c r="AQ115">
        <f t="shared" si="102"/>
        <v>0</v>
      </c>
    </row>
    <row r="116" spans="2:43" s="84" customFormat="1" x14ac:dyDescent="0.3">
      <c r="B116" s="84" t="s">
        <v>361</v>
      </c>
      <c r="C116" t="s">
        <v>362</v>
      </c>
      <c r="D116" s="85" t="s">
        <v>30</v>
      </c>
      <c r="E116" s="84">
        <f t="shared" si="84"/>
        <v>0</v>
      </c>
      <c r="F116" s="84">
        <f t="shared" si="85"/>
        <v>1</v>
      </c>
      <c r="G116" s="84" t="s">
        <v>488</v>
      </c>
      <c r="H116" s="85">
        <v>11</v>
      </c>
      <c r="I116" s="85"/>
      <c r="J116" s="85" t="s">
        <v>363</v>
      </c>
      <c r="K116" s="84" t="s">
        <v>55</v>
      </c>
      <c r="L116" s="90">
        <v>0</v>
      </c>
      <c r="M116" s="96" t="s">
        <v>36</v>
      </c>
      <c r="O116" s="107">
        <v>2646</v>
      </c>
      <c r="P116" s="58">
        <f t="shared" si="86"/>
        <v>1058</v>
      </c>
      <c r="Q116" s="84">
        <f t="shared" si="87"/>
        <v>2211</v>
      </c>
      <c r="R116" s="57" t="s">
        <v>364</v>
      </c>
      <c r="S116" s="89">
        <v>1</v>
      </c>
      <c r="T116" s="89">
        <f t="shared" si="103"/>
        <v>123</v>
      </c>
      <c r="U116" s="87" t="str">
        <f t="shared" si="88"/>
        <v>PAYPAL</v>
      </c>
      <c r="V116" s="97">
        <v>2</v>
      </c>
      <c r="W116" s="109" t="s">
        <v>25</v>
      </c>
      <c r="X116" s="89">
        <f t="shared" si="89"/>
        <v>3269</v>
      </c>
      <c r="Y116" s="89"/>
      <c r="Z116" s="58">
        <f t="shared" si="90"/>
        <v>0</v>
      </c>
      <c r="AA116" s="58">
        <f t="shared" si="91"/>
        <v>130</v>
      </c>
      <c r="AB116" s="58"/>
      <c r="AC116" s="98">
        <f t="shared" si="92"/>
        <v>2639</v>
      </c>
      <c r="AD116" s="58"/>
      <c r="AE116" s="58">
        <f t="shared" si="93"/>
        <v>30</v>
      </c>
      <c r="AF116" s="58">
        <f>IF(AG116&gt;0,AG65:AG116,0)</f>
        <v>2609</v>
      </c>
      <c r="AG116" s="58">
        <f t="shared" si="94"/>
        <v>2609</v>
      </c>
      <c r="AI116">
        <f t="shared" si="95"/>
        <v>2523</v>
      </c>
      <c r="AJ116">
        <f t="shared" si="96"/>
        <v>0</v>
      </c>
      <c r="AK116">
        <f t="shared" si="97"/>
        <v>0</v>
      </c>
      <c r="AL116">
        <f t="shared" si="98"/>
        <v>0</v>
      </c>
      <c r="AM116"/>
      <c r="AN116">
        <f t="shared" si="99"/>
        <v>2523</v>
      </c>
      <c r="AO116">
        <f t="shared" si="100"/>
        <v>0</v>
      </c>
      <c r="AP116">
        <f t="shared" si="101"/>
        <v>0</v>
      </c>
      <c r="AQ116">
        <f t="shared" si="102"/>
        <v>0</v>
      </c>
    </row>
    <row r="117" spans="2:43" s="84" customFormat="1" x14ac:dyDescent="0.3">
      <c r="B117" s="103" t="s">
        <v>82</v>
      </c>
      <c r="C117" s="86" t="s">
        <v>42</v>
      </c>
      <c r="D117" s="85" t="s">
        <v>42</v>
      </c>
      <c r="E117" s="84">
        <f t="shared" si="84"/>
        <v>9</v>
      </c>
      <c r="F117" s="84">
        <f t="shared" si="85"/>
        <v>0</v>
      </c>
      <c r="G117" s="108" t="s">
        <v>383</v>
      </c>
      <c r="H117" s="85">
        <v>9</v>
      </c>
      <c r="I117" s="85"/>
      <c r="J117" s="84" t="s">
        <v>63</v>
      </c>
      <c r="K117" s="84" t="s">
        <v>55</v>
      </c>
      <c r="L117" s="90">
        <v>3</v>
      </c>
      <c r="M117" s="96" t="s">
        <v>36</v>
      </c>
      <c r="O117" s="107">
        <v>0</v>
      </c>
      <c r="P117" s="58">
        <f t="shared" si="86"/>
        <v>0</v>
      </c>
      <c r="Q117" s="84">
        <f t="shared" si="87"/>
        <v>0</v>
      </c>
      <c r="R117" s="57"/>
      <c r="S117" s="89"/>
      <c r="T117" s="89">
        <f t="shared" si="103"/>
        <v>0</v>
      </c>
      <c r="U117" s="87" t="str">
        <f t="shared" si="88"/>
        <v>NONE</v>
      </c>
      <c r="V117" s="97"/>
      <c r="W117" s="90"/>
      <c r="X117" s="89">
        <f t="shared" si="89"/>
        <v>0</v>
      </c>
      <c r="Y117" s="89"/>
      <c r="Z117" s="58">
        <f t="shared" si="90"/>
        <v>0</v>
      </c>
      <c r="AA117" s="58">
        <f t="shared" si="91"/>
        <v>130</v>
      </c>
      <c r="AB117" s="58"/>
      <c r="AC117" s="98">
        <f t="shared" si="92"/>
        <v>-130</v>
      </c>
      <c r="AD117" s="58"/>
      <c r="AE117" s="58">
        <f t="shared" si="93"/>
        <v>0</v>
      </c>
      <c r="AF117" s="58">
        <f>IF(AG117&gt;0,AG69:AG117,0)</f>
        <v>0</v>
      </c>
      <c r="AG117" s="58">
        <f t="shared" si="94"/>
        <v>-130</v>
      </c>
      <c r="AI117">
        <f t="shared" si="95"/>
        <v>0</v>
      </c>
      <c r="AJ117">
        <f t="shared" si="96"/>
        <v>0</v>
      </c>
      <c r="AK117">
        <f t="shared" si="97"/>
        <v>0</v>
      </c>
      <c r="AL117">
        <f t="shared" si="98"/>
        <v>0</v>
      </c>
      <c r="AM117"/>
      <c r="AN117">
        <f t="shared" si="99"/>
        <v>0</v>
      </c>
      <c r="AO117">
        <f t="shared" si="100"/>
        <v>0</v>
      </c>
      <c r="AP117">
        <f t="shared" si="101"/>
        <v>0</v>
      </c>
      <c r="AQ117">
        <f t="shared" si="102"/>
        <v>0</v>
      </c>
    </row>
    <row r="118" spans="2:43" x14ac:dyDescent="0.3">
      <c r="B118" s="84" t="s">
        <v>428</v>
      </c>
      <c r="C118" t="s">
        <v>429</v>
      </c>
      <c r="D118" s="85" t="s">
        <v>30</v>
      </c>
      <c r="E118" s="84">
        <f t="shared" si="84"/>
        <v>0</v>
      </c>
      <c r="F118" s="84">
        <f t="shared" si="85"/>
        <v>1</v>
      </c>
      <c r="G118" s="85" t="s">
        <v>430</v>
      </c>
      <c r="H118" s="85">
        <v>7</v>
      </c>
      <c r="I118" s="85"/>
      <c r="J118" s="85" t="s">
        <v>184</v>
      </c>
      <c r="K118" s="84" t="s">
        <v>55</v>
      </c>
      <c r="L118" s="90">
        <v>0</v>
      </c>
      <c r="M118" s="96" t="s">
        <v>36</v>
      </c>
      <c r="N118" s="84"/>
      <c r="O118" s="107">
        <v>1759</v>
      </c>
      <c r="P118" s="58">
        <f t="shared" si="86"/>
        <v>704</v>
      </c>
      <c r="Q118" s="84">
        <f t="shared" si="87"/>
        <v>1643</v>
      </c>
      <c r="R118" s="57" t="s">
        <v>431</v>
      </c>
      <c r="S118" s="89">
        <v>2</v>
      </c>
      <c r="T118" s="89">
        <f t="shared" si="103"/>
        <v>88</v>
      </c>
      <c r="U118" s="87" t="str">
        <f t="shared" si="88"/>
        <v>PAYPAL</v>
      </c>
      <c r="V118" s="97">
        <v>2</v>
      </c>
      <c r="W118" s="90" t="s">
        <v>558</v>
      </c>
      <c r="X118" s="89">
        <f t="shared" si="89"/>
        <v>2347</v>
      </c>
      <c r="Y118" s="89"/>
      <c r="Z118" s="58">
        <f t="shared" si="90"/>
        <v>0</v>
      </c>
      <c r="AA118" s="58">
        <f t="shared" si="91"/>
        <v>130</v>
      </c>
      <c r="AB118" s="58"/>
      <c r="AC118" s="98">
        <f t="shared" si="92"/>
        <v>1717</v>
      </c>
      <c r="AD118" s="58"/>
      <c r="AE118" s="58">
        <f t="shared" si="93"/>
        <v>30</v>
      </c>
      <c r="AF118" s="58">
        <f>IF(AG118&gt;0,AG71:AG118,0)</f>
        <v>1687</v>
      </c>
      <c r="AG118" s="58">
        <f>AC118-AE118</f>
        <v>1687</v>
      </c>
      <c r="AI118">
        <f t="shared" si="95"/>
        <v>0</v>
      </c>
      <c r="AJ118">
        <f t="shared" si="96"/>
        <v>1671</v>
      </c>
      <c r="AK118">
        <f t="shared" si="97"/>
        <v>0</v>
      </c>
      <c r="AL118">
        <f t="shared" si="98"/>
        <v>0</v>
      </c>
      <c r="AN118">
        <f t="shared" si="99"/>
        <v>0</v>
      </c>
      <c r="AO118">
        <f t="shared" si="100"/>
        <v>1671</v>
      </c>
      <c r="AP118">
        <f t="shared" si="101"/>
        <v>0</v>
      </c>
      <c r="AQ118">
        <f t="shared" si="102"/>
        <v>0</v>
      </c>
    </row>
    <row r="119" spans="2:43" x14ac:dyDescent="0.3">
      <c r="B119" s="147" t="s">
        <v>415</v>
      </c>
      <c r="C119" t="s">
        <v>414</v>
      </c>
      <c r="D119" s="84" t="s">
        <v>370</v>
      </c>
      <c r="E119" s="84">
        <f t="shared" si="84"/>
        <v>0</v>
      </c>
      <c r="F119" s="84">
        <f t="shared" si="85"/>
        <v>1</v>
      </c>
      <c r="G119" s="84" t="s">
        <v>557</v>
      </c>
      <c r="H119" s="85">
        <v>6</v>
      </c>
      <c r="I119" s="85"/>
      <c r="J119" s="84" t="s">
        <v>413</v>
      </c>
      <c r="K119" s="84" t="s">
        <v>55</v>
      </c>
      <c r="L119" s="90">
        <v>0</v>
      </c>
      <c r="M119" s="96" t="s">
        <v>36</v>
      </c>
      <c r="N119" s="84"/>
      <c r="O119" s="107">
        <v>1629</v>
      </c>
      <c r="P119" s="58">
        <f t="shared" si="86"/>
        <v>652</v>
      </c>
      <c r="Q119" s="84">
        <f t="shared" si="87"/>
        <v>1560</v>
      </c>
      <c r="R119" s="57" t="s">
        <v>416</v>
      </c>
      <c r="S119" s="89">
        <v>2</v>
      </c>
      <c r="T119" s="89">
        <f t="shared" si="103"/>
        <v>83</v>
      </c>
      <c r="U119" s="87" t="str">
        <f t="shared" si="88"/>
        <v>PAYPAL</v>
      </c>
      <c r="V119" s="97">
        <v>2</v>
      </c>
      <c r="W119" s="90" t="s">
        <v>467</v>
      </c>
      <c r="X119" s="89">
        <f t="shared" si="89"/>
        <v>2212</v>
      </c>
      <c r="Y119" s="89"/>
      <c r="Z119" s="58">
        <f t="shared" si="90"/>
        <v>0</v>
      </c>
      <c r="AA119" s="58">
        <f t="shared" si="91"/>
        <v>130</v>
      </c>
      <c r="AB119" s="58"/>
      <c r="AC119" s="98">
        <f t="shared" si="92"/>
        <v>1582</v>
      </c>
      <c r="AD119" s="58"/>
      <c r="AE119" s="58">
        <f t="shared" si="93"/>
        <v>30</v>
      </c>
      <c r="AF119" s="58">
        <f>IF(AG119&gt;0,AG70:AG119,0)</f>
        <v>1552</v>
      </c>
      <c r="AG119" s="58">
        <f t="shared" si="94"/>
        <v>1552</v>
      </c>
      <c r="AI119">
        <f t="shared" si="95"/>
        <v>0</v>
      </c>
      <c r="AJ119">
        <f t="shared" si="96"/>
        <v>1546</v>
      </c>
      <c r="AK119">
        <f t="shared" si="97"/>
        <v>0</v>
      </c>
      <c r="AL119">
        <f t="shared" si="98"/>
        <v>0</v>
      </c>
      <c r="AN119">
        <f t="shared" si="99"/>
        <v>0</v>
      </c>
      <c r="AO119">
        <f t="shared" si="100"/>
        <v>1546</v>
      </c>
      <c r="AP119">
        <f t="shared" si="101"/>
        <v>0</v>
      </c>
      <c r="AQ119">
        <f t="shared" si="102"/>
        <v>0</v>
      </c>
    </row>
    <row r="120" spans="2:43" s="84" customFormat="1" x14ac:dyDescent="0.3">
      <c r="B120" s="181" t="s">
        <v>303</v>
      </c>
      <c r="C120" t="s">
        <v>304</v>
      </c>
      <c r="D120" s="85" t="s">
        <v>30</v>
      </c>
      <c r="E120" s="84">
        <f t="shared" si="84"/>
        <v>0</v>
      </c>
      <c r="F120" s="84">
        <f t="shared" si="85"/>
        <v>1</v>
      </c>
      <c r="G120" s="104" t="s">
        <v>305</v>
      </c>
      <c r="H120" s="85">
        <v>16</v>
      </c>
      <c r="I120" s="85"/>
      <c r="J120" s="85" t="s">
        <v>108</v>
      </c>
      <c r="K120" s="84" t="s">
        <v>55</v>
      </c>
      <c r="L120" s="90">
        <v>0</v>
      </c>
      <c r="M120" s="96" t="s">
        <v>36</v>
      </c>
      <c r="O120" s="107">
        <v>3274</v>
      </c>
      <c r="P120" s="58">
        <f t="shared" si="86"/>
        <v>1310</v>
      </c>
      <c r="Q120" s="84">
        <f t="shared" si="87"/>
        <v>2511</v>
      </c>
      <c r="R120" s="57" t="s">
        <v>306</v>
      </c>
      <c r="S120" s="89">
        <v>2</v>
      </c>
      <c r="T120" s="89">
        <f t="shared" si="103"/>
        <v>47</v>
      </c>
      <c r="U120" s="87" t="str">
        <f t="shared" si="88"/>
        <v>BANK</v>
      </c>
      <c r="V120" s="97">
        <v>1</v>
      </c>
      <c r="W120" s="109" t="s">
        <v>25</v>
      </c>
      <c r="X120" s="89">
        <f t="shared" si="89"/>
        <v>3821</v>
      </c>
      <c r="Y120" s="89"/>
      <c r="Z120" s="58">
        <f t="shared" si="90"/>
        <v>0</v>
      </c>
      <c r="AA120" s="58">
        <f t="shared" si="91"/>
        <v>130</v>
      </c>
      <c r="AB120" s="58"/>
      <c r="AC120" s="98">
        <f t="shared" si="92"/>
        <v>3191</v>
      </c>
      <c r="AD120" s="58"/>
      <c r="AE120" s="58">
        <f t="shared" si="93"/>
        <v>30</v>
      </c>
      <c r="AF120" s="58">
        <f>IF(AG120&gt;0,AG71:AG120,0)</f>
        <v>3161</v>
      </c>
      <c r="AG120" s="58">
        <f t="shared" si="94"/>
        <v>3161</v>
      </c>
      <c r="AI120" s="84">
        <f t="shared" si="95"/>
        <v>0</v>
      </c>
      <c r="AJ120" s="84">
        <f t="shared" si="96"/>
        <v>3227</v>
      </c>
      <c r="AK120" s="84">
        <f t="shared" si="97"/>
        <v>0</v>
      </c>
      <c r="AL120" s="84">
        <f t="shared" si="98"/>
        <v>0</v>
      </c>
      <c r="AN120" s="84">
        <f t="shared" si="99"/>
        <v>0</v>
      </c>
      <c r="AO120" s="84">
        <f t="shared" si="100"/>
        <v>3227</v>
      </c>
      <c r="AP120" s="84">
        <f t="shared" si="101"/>
        <v>0</v>
      </c>
      <c r="AQ120" s="84">
        <f t="shared" si="102"/>
        <v>0</v>
      </c>
    </row>
    <row r="121" spans="2:43" s="84" customFormat="1" x14ac:dyDescent="0.3">
      <c r="B121" s="103" t="s">
        <v>82</v>
      </c>
      <c r="C121" s="86" t="s">
        <v>42</v>
      </c>
      <c r="D121" s="85" t="s">
        <v>42</v>
      </c>
      <c r="E121" s="84">
        <f t="shared" si="84"/>
        <v>3</v>
      </c>
      <c r="F121" s="84">
        <f t="shared" si="85"/>
        <v>0</v>
      </c>
      <c r="G121" s="108" t="s">
        <v>439</v>
      </c>
      <c r="H121" s="85">
        <v>3</v>
      </c>
      <c r="I121" s="85"/>
      <c r="J121" s="84" t="s">
        <v>63</v>
      </c>
      <c r="K121" s="84" t="s">
        <v>55</v>
      </c>
      <c r="L121" s="90">
        <v>3</v>
      </c>
      <c r="M121" s="96" t="s">
        <v>36</v>
      </c>
      <c r="O121" s="107">
        <v>0</v>
      </c>
      <c r="P121" s="58">
        <f t="shared" si="86"/>
        <v>0</v>
      </c>
      <c r="Q121" s="84">
        <f t="shared" si="87"/>
        <v>0</v>
      </c>
      <c r="R121" s="57"/>
      <c r="S121" s="89"/>
      <c r="T121" s="89">
        <f t="shared" si="103"/>
        <v>0</v>
      </c>
      <c r="U121" s="87" t="str">
        <f t="shared" si="88"/>
        <v>NONE</v>
      </c>
      <c r="V121" s="97"/>
      <c r="W121" s="90"/>
      <c r="X121" s="89">
        <f t="shared" si="89"/>
        <v>0</v>
      </c>
      <c r="Y121" s="89"/>
      <c r="Z121" s="58">
        <f t="shared" si="90"/>
        <v>0</v>
      </c>
      <c r="AA121" s="58">
        <f t="shared" si="91"/>
        <v>130</v>
      </c>
      <c r="AB121" s="58"/>
      <c r="AC121" s="98">
        <f t="shared" si="92"/>
        <v>-130</v>
      </c>
      <c r="AD121" s="58"/>
      <c r="AE121" s="58">
        <f t="shared" si="93"/>
        <v>0</v>
      </c>
      <c r="AF121" s="58">
        <f>IF(AG121&gt;0,AG70:AG121,0)</f>
        <v>0</v>
      </c>
      <c r="AG121" s="58">
        <f t="shared" si="94"/>
        <v>-130</v>
      </c>
      <c r="AI121">
        <f t="shared" si="95"/>
        <v>0</v>
      </c>
      <c r="AJ121">
        <f t="shared" si="96"/>
        <v>0</v>
      </c>
      <c r="AK121">
        <f t="shared" si="97"/>
        <v>0</v>
      </c>
      <c r="AL121">
        <f t="shared" si="98"/>
        <v>0</v>
      </c>
      <c r="AM121"/>
      <c r="AN121">
        <f t="shared" si="99"/>
        <v>0</v>
      </c>
      <c r="AO121">
        <f t="shared" si="100"/>
        <v>0</v>
      </c>
      <c r="AP121">
        <f t="shared" si="101"/>
        <v>0</v>
      </c>
      <c r="AQ121">
        <f t="shared" si="102"/>
        <v>0</v>
      </c>
    </row>
    <row r="122" spans="2:43" s="84" customFormat="1" x14ac:dyDescent="0.3">
      <c r="B122" s="147" t="s">
        <v>425</v>
      </c>
      <c r="C122" t="s">
        <v>426</v>
      </c>
      <c r="D122" s="85" t="s">
        <v>370</v>
      </c>
      <c r="E122" s="84">
        <f t="shared" si="84"/>
        <v>0</v>
      </c>
      <c r="F122" s="84">
        <f t="shared" si="85"/>
        <v>1</v>
      </c>
      <c r="G122" s="85" t="s">
        <v>427</v>
      </c>
      <c r="H122" s="85">
        <v>14</v>
      </c>
      <c r="I122" s="85"/>
      <c r="J122" s="84" t="s">
        <v>98</v>
      </c>
      <c r="K122" s="84" t="s">
        <v>55</v>
      </c>
      <c r="L122" s="90">
        <v>0</v>
      </c>
      <c r="M122" s="96" t="s">
        <v>36</v>
      </c>
      <c r="O122" s="107">
        <v>2805</v>
      </c>
      <c r="P122" s="58">
        <f t="shared" si="86"/>
        <v>1122</v>
      </c>
      <c r="Q122" s="84">
        <f t="shared" si="87"/>
        <v>2312</v>
      </c>
      <c r="R122" s="57" t="s">
        <v>473</v>
      </c>
      <c r="S122" s="89">
        <v>2</v>
      </c>
      <c r="T122" s="89">
        <f t="shared" si="103"/>
        <v>129</v>
      </c>
      <c r="U122" s="87" t="str">
        <f t="shared" si="88"/>
        <v>PAYPAL</v>
      </c>
      <c r="V122" s="97">
        <v>2</v>
      </c>
      <c r="W122" s="90" t="s">
        <v>559</v>
      </c>
      <c r="X122" s="89">
        <f t="shared" si="89"/>
        <v>3434</v>
      </c>
      <c r="Y122" s="89"/>
      <c r="Z122" s="58">
        <f t="shared" si="90"/>
        <v>0</v>
      </c>
      <c r="AA122" s="58">
        <f t="shared" si="91"/>
        <v>130</v>
      </c>
      <c r="AB122" s="58"/>
      <c r="AC122" s="98">
        <f t="shared" si="92"/>
        <v>2804</v>
      </c>
      <c r="AD122" s="58"/>
      <c r="AE122" s="58">
        <f t="shared" si="93"/>
        <v>30</v>
      </c>
      <c r="AF122" s="58">
        <f>IF(AG122&gt;0,AG72:AG122,0)</f>
        <v>2774</v>
      </c>
      <c r="AG122" s="58">
        <f t="shared" si="94"/>
        <v>2774</v>
      </c>
      <c r="AI122">
        <f t="shared" si="95"/>
        <v>0</v>
      </c>
      <c r="AJ122">
        <f t="shared" si="96"/>
        <v>2676</v>
      </c>
      <c r="AK122">
        <f t="shared" si="97"/>
        <v>0</v>
      </c>
      <c r="AL122">
        <f t="shared" si="98"/>
        <v>0</v>
      </c>
      <c r="AM122"/>
      <c r="AN122">
        <f t="shared" si="99"/>
        <v>0</v>
      </c>
      <c r="AO122">
        <f t="shared" si="100"/>
        <v>2676</v>
      </c>
      <c r="AP122">
        <f t="shared" si="101"/>
        <v>0</v>
      </c>
      <c r="AQ122">
        <f t="shared" si="102"/>
        <v>0</v>
      </c>
    </row>
    <row r="123" spans="2:43" ht="15.6" x14ac:dyDescent="0.3">
      <c r="B123" s="173" t="s">
        <v>468</v>
      </c>
      <c r="C123" t="s">
        <v>469</v>
      </c>
      <c r="D123" s="85" t="s">
        <v>61</v>
      </c>
      <c r="E123" s="84">
        <f t="shared" si="84"/>
        <v>0</v>
      </c>
      <c r="F123" s="84">
        <f t="shared" si="85"/>
        <v>1</v>
      </c>
      <c r="G123" s="85" t="s">
        <v>470</v>
      </c>
      <c r="H123" s="85">
        <v>14</v>
      </c>
      <c r="I123" s="85"/>
      <c r="J123" s="85" t="s">
        <v>184</v>
      </c>
      <c r="K123" s="84" t="s">
        <v>55</v>
      </c>
      <c r="L123" s="90">
        <v>0</v>
      </c>
      <c r="M123" s="96" t="s">
        <v>36</v>
      </c>
      <c r="N123" s="84"/>
      <c r="O123" s="107">
        <v>2268</v>
      </c>
      <c r="P123" s="58">
        <f t="shared" si="86"/>
        <v>907</v>
      </c>
      <c r="Q123" s="84">
        <f t="shared" si="87"/>
        <v>1969</v>
      </c>
      <c r="R123" s="57" t="s">
        <v>471</v>
      </c>
      <c r="S123" s="89">
        <v>2</v>
      </c>
      <c r="T123" s="89">
        <f t="shared" si="103"/>
        <v>108</v>
      </c>
      <c r="U123" s="87" t="str">
        <f t="shared" si="88"/>
        <v>PAYPAL</v>
      </c>
      <c r="V123" s="97">
        <v>2</v>
      </c>
      <c r="W123" s="90" t="s">
        <v>25</v>
      </c>
      <c r="X123" s="89">
        <f t="shared" si="89"/>
        <v>2876</v>
      </c>
      <c r="Y123" s="89"/>
      <c r="Z123" s="58">
        <f t="shared" si="90"/>
        <v>0</v>
      </c>
      <c r="AA123" s="58">
        <f t="shared" si="91"/>
        <v>130</v>
      </c>
      <c r="AB123" s="58"/>
      <c r="AC123" s="98">
        <f t="shared" si="92"/>
        <v>2246</v>
      </c>
      <c r="AD123" s="58"/>
      <c r="AE123" s="58">
        <f t="shared" si="93"/>
        <v>30</v>
      </c>
      <c r="AF123" s="58">
        <f>IF(AG123&gt;0,AG71:AG123,0)</f>
        <v>2216</v>
      </c>
      <c r="AG123" s="58">
        <f>AC123-AE123</f>
        <v>2216</v>
      </c>
      <c r="AI123">
        <f>IF(S123=1,O123-T123,0)</f>
        <v>0</v>
      </c>
      <c r="AJ123">
        <f>IF(S123=2,O123-T123,0)</f>
        <v>2160</v>
      </c>
      <c r="AK123">
        <f>IF(S123=3,O123-T123,0)</f>
        <v>0</v>
      </c>
      <c r="AL123">
        <f>IF(S123=4,O123-T123,0)</f>
        <v>0</v>
      </c>
      <c r="AN123">
        <f>IF(S123=1,O123-T123,0)</f>
        <v>0</v>
      </c>
      <c r="AO123">
        <f>IF(S123=2,O123-T123,0)</f>
        <v>2160</v>
      </c>
      <c r="AP123">
        <f>IF(S123=3,O123-T123,0)</f>
        <v>0</v>
      </c>
      <c r="AQ123">
        <f>IF(S123=4,O123-T123,0)</f>
        <v>0</v>
      </c>
    </row>
    <row r="124" spans="2:43" x14ac:dyDescent="0.3">
      <c r="B124" s="84" t="s">
        <v>449</v>
      </c>
      <c r="C124" t="s">
        <v>450</v>
      </c>
      <c r="D124" s="84" t="s">
        <v>30</v>
      </c>
      <c r="E124" s="84">
        <f t="shared" si="84"/>
        <v>0</v>
      </c>
      <c r="F124" s="84">
        <f t="shared" si="85"/>
        <v>1</v>
      </c>
      <c r="G124" s="84" t="s">
        <v>451</v>
      </c>
      <c r="H124" s="85">
        <v>10</v>
      </c>
      <c r="I124" s="85"/>
      <c r="J124" s="84" t="s">
        <v>452</v>
      </c>
      <c r="K124" s="84" t="s">
        <v>55</v>
      </c>
      <c r="L124" s="90">
        <v>0</v>
      </c>
      <c r="M124" s="96" t="s">
        <v>36</v>
      </c>
      <c r="N124" s="84"/>
      <c r="O124" s="107">
        <v>1816</v>
      </c>
      <c r="P124" s="58">
        <f t="shared" si="86"/>
        <v>726</v>
      </c>
      <c r="Q124" s="84">
        <f t="shared" si="87"/>
        <v>1680</v>
      </c>
      <c r="R124" s="57" t="s">
        <v>453</v>
      </c>
      <c r="S124" s="89">
        <v>3</v>
      </c>
      <c r="T124" s="89">
        <f t="shared" si="103"/>
        <v>90</v>
      </c>
      <c r="U124" s="87" t="str">
        <f t="shared" si="88"/>
        <v>PAYPAL</v>
      </c>
      <c r="V124" s="97">
        <v>2</v>
      </c>
      <c r="W124" s="109" t="s">
        <v>25</v>
      </c>
      <c r="X124" s="89">
        <f t="shared" si="89"/>
        <v>2406</v>
      </c>
      <c r="Y124" s="89"/>
      <c r="Z124" s="58">
        <f t="shared" si="90"/>
        <v>0</v>
      </c>
      <c r="AA124" s="58">
        <f t="shared" si="91"/>
        <v>130</v>
      </c>
      <c r="AB124" s="58"/>
      <c r="AC124" s="98">
        <f t="shared" si="92"/>
        <v>1776</v>
      </c>
      <c r="AD124" s="58"/>
      <c r="AE124" s="58">
        <f t="shared" si="93"/>
        <v>30</v>
      </c>
      <c r="AF124" s="58">
        <f>IF(AG124&gt;0,AG73:AG124,0)</f>
        <v>1746</v>
      </c>
      <c r="AG124" s="58">
        <f>AC124-AE124</f>
        <v>1746</v>
      </c>
      <c r="AI124">
        <f>IF(S124=1,O124-T124,0)</f>
        <v>0</v>
      </c>
      <c r="AJ124">
        <f>IF(S124=2,O124-T124,0)</f>
        <v>0</v>
      </c>
      <c r="AK124">
        <f>IF(S124=3,O124-T124,0)</f>
        <v>1726</v>
      </c>
      <c r="AL124">
        <f>IF(S124=4,O124-T124,0)</f>
        <v>0</v>
      </c>
      <c r="AN124">
        <f>IF(S124=1,O124-T124,0)</f>
        <v>0</v>
      </c>
      <c r="AO124">
        <f>IF(S124=2,O124-T124,0)</f>
        <v>0</v>
      </c>
      <c r="AP124">
        <f>IF(S124=3,O124-T124,0)</f>
        <v>1726</v>
      </c>
      <c r="AQ124">
        <f>IF(S124=4,O124-T124,0)</f>
        <v>0</v>
      </c>
    </row>
    <row r="125" spans="2:43" x14ac:dyDescent="0.3">
      <c r="B125" s="86" t="s">
        <v>553</v>
      </c>
      <c r="C125" t="s">
        <v>454</v>
      </c>
      <c r="D125" s="84" t="s">
        <v>30</v>
      </c>
      <c r="E125" s="84">
        <f t="shared" si="84"/>
        <v>0</v>
      </c>
      <c r="F125" s="84">
        <f t="shared" si="85"/>
        <v>1</v>
      </c>
      <c r="G125" s="187" t="s">
        <v>455</v>
      </c>
      <c r="H125" s="85">
        <v>14</v>
      </c>
      <c r="I125" s="85"/>
      <c r="J125" s="84" t="s">
        <v>74</v>
      </c>
      <c r="K125" s="84" t="s">
        <v>55</v>
      </c>
      <c r="L125" s="90">
        <v>0</v>
      </c>
      <c r="M125" s="96" t="s">
        <v>36</v>
      </c>
      <c r="N125" s="84"/>
      <c r="O125" s="107">
        <v>2219</v>
      </c>
      <c r="P125" s="58">
        <f t="shared" si="86"/>
        <v>888</v>
      </c>
      <c r="Q125" s="84">
        <f t="shared" si="87"/>
        <v>1937</v>
      </c>
      <c r="R125" s="57" t="s">
        <v>456</v>
      </c>
      <c r="S125" s="89">
        <v>3</v>
      </c>
      <c r="T125" s="89">
        <f t="shared" si="103"/>
        <v>106</v>
      </c>
      <c r="U125" s="87" t="str">
        <f t="shared" si="88"/>
        <v>PAYPAL</v>
      </c>
      <c r="V125" s="97">
        <v>2</v>
      </c>
      <c r="W125" s="90" t="s">
        <v>552</v>
      </c>
      <c r="X125" s="89">
        <f t="shared" si="89"/>
        <v>2825</v>
      </c>
      <c r="Y125" s="89"/>
      <c r="Z125" s="58">
        <f t="shared" si="90"/>
        <v>0</v>
      </c>
      <c r="AA125" s="58">
        <f t="shared" si="91"/>
        <v>130</v>
      </c>
      <c r="AB125" s="58"/>
      <c r="AC125" s="98">
        <f t="shared" si="92"/>
        <v>2195</v>
      </c>
      <c r="AD125" s="58"/>
      <c r="AE125" s="58">
        <f t="shared" si="93"/>
        <v>30</v>
      </c>
      <c r="AF125" s="58">
        <f>IF(AG125&gt;0,AG73:AG125,0)</f>
        <v>2165</v>
      </c>
      <c r="AG125" s="58">
        <f>AC125-AE125</f>
        <v>2165</v>
      </c>
      <c r="AI125">
        <f>IF(S125=1,O125-T125,0)</f>
        <v>0</v>
      </c>
      <c r="AJ125">
        <f>IF(S125=2,O125-T125,0)</f>
        <v>0</v>
      </c>
      <c r="AK125">
        <f>IF(S125=3,O125-T125,0)</f>
        <v>2113</v>
      </c>
      <c r="AL125">
        <f>IF(S125=4,O125-T125,0)</f>
        <v>0</v>
      </c>
      <c r="AN125">
        <f>IF(S125=1,O125-T125,0)</f>
        <v>0</v>
      </c>
      <c r="AO125">
        <f>IF(S125=2,O125-T125,0)</f>
        <v>0</v>
      </c>
      <c r="AP125">
        <f>IF(S125=3,O125-T125,0)</f>
        <v>2113</v>
      </c>
      <c r="AQ125">
        <f>IF(S125=4,O125-T125,0)</f>
        <v>0</v>
      </c>
    </row>
    <row r="126" spans="2:43" s="84" customFormat="1" x14ac:dyDescent="0.3">
      <c r="B126" s="110" t="s">
        <v>82</v>
      </c>
      <c r="C126" s="86" t="s">
        <v>42</v>
      </c>
      <c r="D126" s="85" t="s">
        <v>42</v>
      </c>
      <c r="E126" s="84">
        <f t="shared" si="84"/>
        <v>22</v>
      </c>
      <c r="F126" s="84">
        <f t="shared" si="85"/>
        <v>0</v>
      </c>
      <c r="G126" s="108" t="s">
        <v>520</v>
      </c>
      <c r="H126" s="85">
        <v>22</v>
      </c>
      <c r="I126" s="85"/>
      <c r="J126" s="84" t="s">
        <v>63</v>
      </c>
      <c r="K126" s="84" t="s">
        <v>55</v>
      </c>
      <c r="L126" s="90">
        <v>3</v>
      </c>
      <c r="M126" s="4" t="s">
        <v>36</v>
      </c>
      <c r="O126" s="107">
        <v>0</v>
      </c>
      <c r="P126" s="58">
        <f t="shared" si="86"/>
        <v>0</v>
      </c>
      <c r="Q126" s="84">
        <f t="shared" si="87"/>
        <v>0</v>
      </c>
      <c r="R126" s="57"/>
      <c r="S126" s="89"/>
      <c r="T126" s="89">
        <f t="shared" si="103"/>
        <v>0</v>
      </c>
      <c r="U126" s="87" t="str">
        <f t="shared" si="88"/>
        <v>NONE</v>
      </c>
      <c r="V126" s="97"/>
      <c r="W126" s="90"/>
      <c r="X126" s="89">
        <f t="shared" si="89"/>
        <v>0</v>
      </c>
      <c r="Y126" s="89"/>
      <c r="Z126" s="58">
        <f t="shared" si="90"/>
        <v>0</v>
      </c>
      <c r="AA126" s="58">
        <f t="shared" si="91"/>
        <v>130</v>
      </c>
      <c r="AB126" s="58"/>
      <c r="AC126" s="98">
        <f t="shared" si="92"/>
        <v>-130</v>
      </c>
      <c r="AD126" s="58"/>
      <c r="AE126" s="58">
        <f t="shared" si="93"/>
        <v>0</v>
      </c>
      <c r="AF126" s="58">
        <f>IF(AG126&gt;0,AG73:AG126,0)</f>
        <v>0</v>
      </c>
      <c r="AG126" s="58">
        <f t="shared" si="94"/>
        <v>-130</v>
      </c>
      <c r="AI126">
        <f t="shared" si="95"/>
        <v>0</v>
      </c>
      <c r="AJ126">
        <f t="shared" si="96"/>
        <v>0</v>
      </c>
      <c r="AK126">
        <f t="shared" si="97"/>
        <v>0</v>
      </c>
      <c r="AL126">
        <f t="shared" si="98"/>
        <v>0</v>
      </c>
      <c r="AM126"/>
      <c r="AN126">
        <f t="shared" si="99"/>
        <v>0</v>
      </c>
      <c r="AO126">
        <f t="shared" si="100"/>
        <v>0</v>
      </c>
      <c r="AP126">
        <f t="shared" si="101"/>
        <v>0</v>
      </c>
      <c r="AQ126">
        <f t="shared" si="102"/>
        <v>0</v>
      </c>
    </row>
    <row r="127" spans="2:43" s="84" customFormat="1" ht="15.6" x14ac:dyDescent="0.3">
      <c r="B127" s="176" t="s">
        <v>500</v>
      </c>
      <c r="C127" s="84" t="s">
        <v>501</v>
      </c>
      <c r="D127" s="85" t="s">
        <v>502</v>
      </c>
      <c r="E127" s="84">
        <f t="shared" si="84"/>
        <v>0</v>
      </c>
      <c r="F127" s="84">
        <f t="shared" si="85"/>
        <v>1</v>
      </c>
      <c r="G127" s="85" t="s">
        <v>503</v>
      </c>
      <c r="H127" s="85">
        <v>7</v>
      </c>
      <c r="I127" s="85"/>
      <c r="J127" s="85" t="s">
        <v>504</v>
      </c>
      <c r="K127" s="84" t="s">
        <v>55</v>
      </c>
      <c r="L127" s="90">
        <v>0</v>
      </c>
      <c r="M127" s="96" t="s">
        <v>36</v>
      </c>
      <c r="O127" s="107">
        <v>1474</v>
      </c>
      <c r="P127" s="58">
        <f t="shared" si="86"/>
        <v>590</v>
      </c>
      <c r="Q127" s="84">
        <f t="shared" si="87"/>
        <v>1461</v>
      </c>
      <c r="R127" s="57" t="s">
        <v>505</v>
      </c>
      <c r="S127" s="89">
        <v>3</v>
      </c>
      <c r="T127" s="89">
        <f t="shared" si="103"/>
        <v>77</v>
      </c>
      <c r="U127" s="87" t="str">
        <f t="shared" si="88"/>
        <v>PAYPAL</v>
      </c>
      <c r="V127" s="97">
        <v>2</v>
      </c>
      <c r="W127" s="90" t="s">
        <v>583</v>
      </c>
      <c r="X127" s="89">
        <f t="shared" si="89"/>
        <v>2051</v>
      </c>
      <c r="Y127" s="89"/>
      <c r="Z127" s="58">
        <f t="shared" si="90"/>
        <v>0</v>
      </c>
      <c r="AA127" s="58">
        <f t="shared" si="91"/>
        <v>130</v>
      </c>
      <c r="AB127" s="58"/>
      <c r="AC127" s="98">
        <f t="shared" si="92"/>
        <v>1421</v>
      </c>
      <c r="AD127" s="58"/>
      <c r="AE127" s="58">
        <f t="shared" si="93"/>
        <v>30</v>
      </c>
      <c r="AF127" s="58">
        <f>IF(AG127&gt;0,AG63:AG127,0)</f>
        <v>1391</v>
      </c>
      <c r="AG127" s="58">
        <f>AC127-AE127</f>
        <v>1391</v>
      </c>
      <c r="AI127" s="84">
        <f>IF(S127=1,O127-T127,0)</f>
        <v>0</v>
      </c>
      <c r="AJ127" s="84">
        <f>IF(S127=2,O127-T127,0)</f>
        <v>0</v>
      </c>
      <c r="AK127" s="84">
        <f>IF(S127=3,O127-T127,0)</f>
        <v>1397</v>
      </c>
      <c r="AL127" s="84">
        <f>IF(S127=4,O127-T127,0)</f>
        <v>0</v>
      </c>
      <c r="AN127" s="84">
        <f>IF(S127=1,O127-T127,0)</f>
        <v>0</v>
      </c>
      <c r="AO127" s="84">
        <f>IF(S127=2,O127-T127,0)</f>
        <v>0</v>
      </c>
      <c r="AP127" s="84">
        <f>IF(S127=3,O127-T127,0)</f>
        <v>1397</v>
      </c>
      <c r="AQ127" s="84">
        <f>IF(S127=4,O127-T127,0)</f>
        <v>0</v>
      </c>
    </row>
    <row r="128" spans="2:43" s="84" customFormat="1" ht="17.25" customHeight="1" x14ac:dyDescent="0.3">
      <c r="B128" s="176" t="s">
        <v>489</v>
      </c>
      <c r="C128" s="84" t="s">
        <v>584</v>
      </c>
      <c r="D128" s="84" t="s">
        <v>370</v>
      </c>
      <c r="E128" s="84">
        <f t="shared" si="84"/>
        <v>0</v>
      </c>
      <c r="F128" s="84">
        <f t="shared" si="85"/>
        <v>1</v>
      </c>
      <c r="G128" s="177" t="s">
        <v>491</v>
      </c>
      <c r="H128" s="85">
        <v>7</v>
      </c>
      <c r="I128" s="85"/>
      <c r="J128" s="148" t="s">
        <v>363</v>
      </c>
      <c r="K128" s="84" t="s">
        <v>55</v>
      </c>
      <c r="L128" s="90">
        <v>0</v>
      </c>
      <c r="M128" s="96" t="s">
        <v>36</v>
      </c>
      <c r="O128" s="107">
        <v>1753</v>
      </c>
      <c r="P128" s="58">
        <f t="shared" si="86"/>
        <v>701</v>
      </c>
      <c r="Q128" s="84">
        <f t="shared" si="87"/>
        <v>1640</v>
      </c>
      <c r="R128" s="57" t="s">
        <v>490</v>
      </c>
      <c r="S128" s="89">
        <v>3</v>
      </c>
      <c r="T128" s="89">
        <f t="shared" si="103"/>
        <v>88</v>
      </c>
      <c r="U128" s="87" t="str">
        <f t="shared" si="88"/>
        <v>PAYPAL</v>
      </c>
      <c r="V128" s="97">
        <v>2</v>
      </c>
      <c r="W128" s="90" t="s">
        <v>590</v>
      </c>
      <c r="X128" s="89">
        <f t="shared" si="89"/>
        <v>2341</v>
      </c>
      <c r="Y128" s="89"/>
      <c r="Z128" s="58">
        <f t="shared" si="90"/>
        <v>0</v>
      </c>
      <c r="AA128" s="58">
        <f t="shared" si="91"/>
        <v>130</v>
      </c>
      <c r="AB128" s="58"/>
      <c r="AC128" s="98">
        <f t="shared" si="92"/>
        <v>1711</v>
      </c>
      <c r="AD128" s="58"/>
      <c r="AE128" s="58">
        <f t="shared" si="93"/>
        <v>30</v>
      </c>
      <c r="AF128" s="58">
        <f>IF(AG128&gt;0,AG75:AG128,0)</f>
        <v>1681</v>
      </c>
      <c r="AG128" s="58">
        <f>AC128-AE128</f>
        <v>1681</v>
      </c>
      <c r="AI128" s="84">
        <f>IF(S128=1,O128-T128,0)</f>
        <v>0</v>
      </c>
      <c r="AJ128" s="84">
        <f>IF(S128=2,O128-T128,0)</f>
        <v>0</v>
      </c>
      <c r="AK128" s="84">
        <f>IF(S128=3,O128-T128,0)</f>
        <v>1665</v>
      </c>
      <c r="AL128" s="84">
        <f>IF(S128=4,O128-T128,0)</f>
        <v>0</v>
      </c>
      <c r="AN128" s="84">
        <f>IF(S128=1,O128-T128,0)</f>
        <v>0</v>
      </c>
      <c r="AO128" s="84">
        <f>IF(S128=2,O128-T128,0)</f>
        <v>0</v>
      </c>
      <c r="AP128" s="84">
        <f>IF(S128=3,O128-T128,0)</f>
        <v>1665</v>
      </c>
      <c r="AQ128" s="84">
        <f>IF(S128=4,O128-T128,0)</f>
        <v>0</v>
      </c>
    </row>
    <row r="129" spans="1:44" x14ac:dyDescent="0.3">
      <c r="B129" s="84" t="s">
        <v>462</v>
      </c>
      <c r="C129" t="s">
        <v>465</v>
      </c>
      <c r="D129" s="85" t="s">
        <v>30</v>
      </c>
      <c r="E129" s="84">
        <f t="shared" si="84"/>
        <v>0</v>
      </c>
      <c r="F129" s="84">
        <f t="shared" si="85"/>
        <v>1</v>
      </c>
      <c r="G129" s="85" t="s">
        <v>463</v>
      </c>
      <c r="H129" s="85">
        <v>28</v>
      </c>
      <c r="I129" s="85"/>
      <c r="J129" s="148" t="s">
        <v>434</v>
      </c>
      <c r="K129" s="84" t="s">
        <v>55</v>
      </c>
      <c r="L129" s="90">
        <v>0</v>
      </c>
      <c r="M129" s="96" t="s">
        <v>581</v>
      </c>
      <c r="N129" s="84"/>
      <c r="O129" s="107">
        <v>4534</v>
      </c>
      <c r="P129" s="58">
        <f t="shared" si="86"/>
        <v>1814</v>
      </c>
      <c r="Q129" s="84">
        <f t="shared" si="87"/>
        <v>3416</v>
      </c>
      <c r="R129" s="57" t="s">
        <v>464</v>
      </c>
      <c r="S129" s="89">
        <v>3</v>
      </c>
      <c r="T129" s="89">
        <f t="shared" si="103"/>
        <v>196</v>
      </c>
      <c r="U129" s="87" t="str">
        <f t="shared" si="88"/>
        <v>PAYPAL</v>
      </c>
      <c r="V129" s="97">
        <v>2</v>
      </c>
      <c r="W129" s="90" t="s">
        <v>559</v>
      </c>
      <c r="X129" s="89">
        <f t="shared" si="89"/>
        <v>5230</v>
      </c>
      <c r="Y129" s="89"/>
      <c r="Z129" s="58">
        <f t="shared" si="90"/>
        <v>0</v>
      </c>
      <c r="AA129" s="58">
        <f t="shared" si="91"/>
        <v>130</v>
      </c>
      <c r="AB129" s="58"/>
      <c r="AC129" s="98">
        <f t="shared" si="92"/>
        <v>4600</v>
      </c>
      <c r="AD129" s="58"/>
      <c r="AE129" s="58">
        <f t="shared" si="93"/>
        <v>30</v>
      </c>
      <c r="AF129" s="58">
        <f>IF(AG129&gt;0,AG76:AG129,0)</f>
        <v>4570</v>
      </c>
      <c r="AG129" s="58">
        <f>AC129-AE129</f>
        <v>4570</v>
      </c>
      <c r="AI129">
        <f>IF(S129=1,O129-T129,0)</f>
        <v>0</v>
      </c>
      <c r="AJ129">
        <f>IF(S129=2,O129-T129,0)</f>
        <v>0</v>
      </c>
      <c r="AK129">
        <f>IF(S129=3,O129-T129,0)</f>
        <v>4338</v>
      </c>
      <c r="AL129">
        <f>IF(S129=4,O129-T129,0)</f>
        <v>0</v>
      </c>
      <c r="AN129">
        <f>IF(S129=1,O129-T129,0)</f>
        <v>0</v>
      </c>
      <c r="AO129">
        <f>IF(S129=2,O129-T129,0)</f>
        <v>0</v>
      </c>
      <c r="AP129">
        <f>IF(S129=3,O129-T129,0)</f>
        <v>4338</v>
      </c>
      <c r="AQ129">
        <f>IF(S129=4,O129-T129,0)</f>
        <v>0</v>
      </c>
    </row>
    <row r="130" spans="1:44" x14ac:dyDescent="0.3">
      <c r="B130" s="103" t="s">
        <v>82</v>
      </c>
      <c r="C130" s="86" t="s">
        <v>42</v>
      </c>
      <c r="D130" s="85" t="s">
        <v>42</v>
      </c>
      <c r="E130" s="84">
        <f t="shared" si="84"/>
        <v>2</v>
      </c>
      <c r="F130" s="84">
        <f t="shared" si="85"/>
        <v>0</v>
      </c>
      <c r="G130" s="104" t="s">
        <v>574</v>
      </c>
      <c r="H130" s="85">
        <v>2</v>
      </c>
      <c r="I130" s="85"/>
      <c r="J130" s="148" t="s">
        <v>434</v>
      </c>
      <c r="K130" s="84" t="s">
        <v>55</v>
      </c>
      <c r="L130" s="90">
        <v>0</v>
      </c>
      <c r="M130" s="96" t="s">
        <v>36</v>
      </c>
      <c r="N130" s="84"/>
      <c r="O130" s="107">
        <v>0</v>
      </c>
      <c r="P130" s="58">
        <f t="shared" si="86"/>
        <v>0</v>
      </c>
      <c r="Q130" s="84">
        <f t="shared" si="87"/>
        <v>0</v>
      </c>
      <c r="R130" s="57"/>
      <c r="S130" s="89"/>
      <c r="T130" s="89">
        <f t="shared" si="103"/>
        <v>0</v>
      </c>
      <c r="U130" s="87" t="str">
        <f t="shared" si="88"/>
        <v>NONE</v>
      </c>
      <c r="V130" s="97"/>
      <c r="W130" s="90"/>
      <c r="X130" s="89">
        <f t="shared" si="89"/>
        <v>0</v>
      </c>
      <c r="Y130" s="89"/>
      <c r="Z130" s="58">
        <f t="shared" si="90"/>
        <v>0</v>
      </c>
      <c r="AA130" s="58">
        <f t="shared" si="91"/>
        <v>130</v>
      </c>
      <c r="AB130" s="58"/>
      <c r="AC130" s="98">
        <f t="shared" si="92"/>
        <v>-130</v>
      </c>
      <c r="AD130" s="58"/>
      <c r="AE130" s="58">
        <f t="shared" si="93"/>
        <v>0</v>
      </c>
      <c r="AF130" s="58">
        <f>IF(AG130&gt;0,AG30:AG130,0)</f>
        <v>0</v>
      </c>
      <c r="AG130" s="58">
        <f>AC130-AE130</f>
        <v>-130</v>
      </c>
      <c r="AI130">
        <f>IF(S130=1,O130-T130,0)</f>
        <v>0</v>
      </c>
      <c r="AJ130">
        <f>IF(S130=2,O130-T130,0)</f>
        <v>0</v>
      </c>
      <c r="AK130">
        <f>IF(S130=3,O130-T130,0)</f>
        <v>0</v>
      </c>
      <c r="AL130">
        <f>IF(S130=4,O130-T130,0)</f>
        <v>0</v>
      </c>
      <c r="AN130">
        <f>IF(S130=1,O130-T130,0)</f>
        <v>0</v>
      </c>
      <c r="AO130">
        <f>IF(S130=2,O130-T130,0)</f>
        <v>0</v>
      </c>
      <c r="AP130">
        <f>IF(S130=3,O130-T130,0)</f>
        <v>0</v>
      </c>
      <c r="AQ130">
        <f>IF(S130=4,O130-T130,0)</f>
        <v>0</v>
      </c>
    </row>
    <row r="131" spans="1:44" x14ac:dyDescent="0.3">
      <c r="B131" s="148" t="s">
        <v>518</v>
      </c>
      <c r="C131" s="180" t="s">
        <v>519</v>
      </c>
      <c r="D131" s="85" t="s">
        <v>180</v>
      </c>
      <c r="E131" s="84">
        <f t="shared" si="84"/>
        <v>0</v>
      </c>
      <c r="F131" s="84">
        <f t="shared" si="85"/>
        <v>1</v>
      </c>
      <c r="G131" s="85" t="s">
        <v>517</v>
      </c>
      <c r="H131" s="85">
        <v>7</v>
      </c>
      <c r="I131" s="85"/>
      <c r="J131" s="85" t="s">
        <v>516</v>
      </c>
      <c r="K131" s="84" t="s">
        <v>55</v>
      </c>
      <c r="L131" s="90">
        <v>0</v>
      </c>
      <c r="M131" s="96" t="s">
        <v>36</v>
      </c>
      <c r="N131" s="84"/>
      <c r="O131" s="107">
        <v>1364</v>
      </c>
      <c r="P131" s="58">
        <f t="shared" si="86"/>
        <v>546</v>
      </c>
      <c r="Q131" s="84">
        <f t="shared" si="87"/>
        <v>1391</v>
      </c>
      <c r="R131" s="57" t="s">
        <v>515</v>
      </c>
      <c r="S131" s="89">
        <v>4</v>
      </c>
      <c r="T131" s="89">
        <f t="shared" si="103"/>
        <v>73</v>
      </c>
      <c r="U131" s="87" t="str">
        <f t="shared" si="88"/>
        <v>PAYPAL</v>
      </c>
      <c r="V131" s="97">
        <v>2</v>
      </c>
      <c r="W131" s="90" t="s">
        <v>25</v>
      </c>
      <c r="X131" s="89">
        <f t="shared" si="89"/>
        <v>1937</v>
      </c>
      <c r="Y131" s="89"/>
      <c r="Z131" s="58">
        <f t="shared" si="90"/>
        <v>0</v>
      </c>
      <c r="AA131" s="58">
        <f t="shared" si="91"/>
        <v>130</v>
      </c>
      <c r="AB131" s="58"/>
      <c r="AC131" s="98">
        <f t="shared" si="92"/>
        <v>1307</v>
      </c>
      <c r="AD131" s="58"/>
      <c r="AE131" s="58">
        <f t="shared" si="93"/>
        <v>30</v>
      </c>
      <c r="AF131" s="58">
        <f>IF(AG131&gt;0,AG43:AG131,0)</f>
        <v>1277</v>
      </c>
      <c r="AG131" s="58">
        <f>AC131-AE131</f>
        <v>1277</v>
      </c>
      <c r="AI131">
        <f>IF(S131=1,O131-T131,0)</f>
        <v>0</v>
      </c>
      <c r="AJ131">
        <f>IF(S131=2,O131-T131,0)</f>
        <v>0</v>
      </c>
      <c r="AK131">
        <f>IF(S131=3,O131-T131,0)</f>
        <v>0</v>
      </c>
      <c r="AL131">
        <f>IF(S131=4,O131-T131,0)</f>
        <v>1291</v>
      </c>
      <c r="AN131">
        <f>IF(S131=1,O131-T131,0)</f>
        <v>0</v>
      </c>
      <c r="AO131">
        <f>IF(S131=2,O131-T131,0)</f>
        <v>0</v>
      </c>
      <c r="AP131">
        <f>IF(S131=3,O131-T131,0)</f>
        <v>0</v>
      </c>
      <c r="AQ131">
        <f>IF(S131=4,O131-T131,0)</f>
        <v>1291</v>
      </c>
    </row>
    <row r="132" spans="1:44" s="84" customFormat="1" x14ac:dyDescent="0.3">
      <c r="B132" s="103" t="s">
        <v>82</v>
      </c>
      <c r="C132" s="86" t="s">
        <v>42</v>
      </c>
      <c r="D132" s="85" t="s">
        <v>42</v>
      </c>
      <c r="E132" s="84">
        <f t="shared" si="84"/>
        <v>3</v>
      </c>
      <c r="F132" s="84">
        <f t="shared" si="85"/>
        <v>0</v>
      </c>
      <c r="G132" s="108" t="s">
        <v>576</v>
      </c>
      <c r="H132" s="85">
        <v>3</v>
      </c>
      <c r="I132" s="85"/>
      <c r="J132" s="84" t="s">
        <v>63</v>
      </c>
      <c r="K132" s="84" t="s">
        <v>55</v>
      </c>
      <c r="L132" s="90">
        <v>3</v>
      </c>
      <c r="M132" s="96" t="s">
        <v>36</v>
      </c>
      <c r="O132" s="107">
        <v>0</v>
      </c>
      <c r="P132" s="58">
        <f t="shared" si="86"/>
        <v>0</v>
      </c>
      <c r="Q132" s="84">
        <f t="shared" si="87"/>
        <v>0</v>
      </c>
      <c r="R132" s="57"/>
      <c r="S132" s="89"/>
      <c r="T132" s="89">
        <f t="shared" si="103"/>
        <v>0</v>
      </c>
      <c r="U132" s="87" t="str">
        <f t="shared" si="88"/>
        <v>NONE</v>
      </c>
      <c r="V132" s="97"/>
      <c r="W132" s="90"/>
      <c r="X132" s="89">
        <f t="shared" si="89"/>
        <v>0</v>
      </c>
      <c r="Y132" s="89"/>
      <c r="Z132" s="58">
        <f t="shared" si="90"/>
        <v>0</v>
      </c>
      <c r="AA132" s="58">
        <f t="shared" si="91"/>
        <v>130</v>
      </c>
      <c r="AB132" s="58"/>
      <c r="AC132" s="98">
        <f t="shared" si="92"/>
        <v>-130</v>
      </c>
      <c r="AD132" s="58"/>
      <c r="AE132" s="58">
        <f t="shared" si="93"/>
        <v>0</v>
      </c>
      <c r="AF132" s="58">
        <f>IF(AG132&gt;0,AG74:AG132,0)</f>
        <v>0</v>
      </c>
      <c r="AG132" s="58">
        <f t="shared" si="94"/>
        <v>-130</v>
      </c>
      <c r="AI132">
        <f t="shared" si="95"/>
        <v>0</v>
      </c>
      <c r="AJ132">
        <f t="shared" si="96"/>
        <v>0</v>
      </c>
      <c r="AK132">
        <f t="shared" si="97"/>
        <v>0</v>
      </c>
      <c r="AL132">
        <f t="shared" si="98"/>
        <v>0</v>
      </c>
      <c r="AM132"/>
      <c r="AN132">
        <f t="shared" si="99"/>
        <v>0</v>
      </c>
      <c r="AO132">
        <f t="shared" si="100"/>
        <v>0</v>
      </c>
      <c r="AP132">
        <f t="shared" si="101"/>
        <v>0</v>
      </c>
      <c r="AQ132">
        <f t="shared" si="102"/>
        <v>0</v>
      </c>
    </row>
    <row r="133" spans="1:44" x14ac:dyDescent="0.3">
      <c r="B133" s="86" t="s">
        <v>506</v>
      </c>
      <c r="C133" t="s">
        <v>507</v>
      </c>
      <c r="D133" s="84" t="s">
        <v>370</v>
      </c>
      <c r="E133" s="84">
        <f t="shared" si="84"/>
        <v>0</v>
      </c>
      <c r="F133" s="84">
        <f t="shared" si="85"/>
        <v>1</v>
      </c>
      <c r="G133" s="84" t="s">
        <v>508</v>
      </c>
      <c r="H133" s="85">
        <v>7</v>
      </c>
      <c r="I133" s="85"/>
      <c r="J133" s="84" t="s">
        <v>103</v>
      </c>
      <c r="K133" s="84" t="s">
        <v>55</v>
      </c>
      <c r="L133" s="90">
        <v>0</v>
      </c>
      <c r="M133" s="96" t="s">
        <v>36</v>
      </c>
      <c r="N133" s="84"/>
      <c r="O133" s="107">
        <v>1364</v>
      </c>
      <c r="P133" s="58">
        <f t="shared" si="86"/>
        <v>546</v>
      </c>
      <c r="Q133" s="84">
        <f t="shared" si="87"/>
        <v>1391</v>
      </c>
      <c r="R133" s="170" t="s">
        <v>509</v>
      </c>
      <c r="S133" s="89">
        <v>4</v>
      </c>
      <c r="T133" s="89">
        <f t="shared" si="103"/>
        <v>73</v>
      </c>
      <c r="U133" s="87" t="str">
        <f t="shared" si="88"/>
        <v>PAYPAL</v>
      </c>
      <c r="V133" s="97">
        <v>2</v>
      </c>
      <c r="W133" s="90" t="s">
        <v>25</v>
      </c>
      <c r="X133" s="89">
        <f t="shared" si="89"/>
        <v>1937</v>
      </c>
      <c r="Y133" s="89"/>
      <c r="Z133" s="58">
        <f t="shared" si="90"/>
        <v>0</v>
      </c>
      <c r="AA133" s="58">
        <f t="shared" si="91"/>
        <v>130</v>
      </c>
      <c r="AB133" s="58"/>
      <c r="AC133" s="98">
        <f t="shared" si="92"/>
        <v>1307</v>
      </c>
      <c r="AD133" s="58"/>
      <c r="AE133" s="58">
        <f t="shared" si="93"/>
        <v>30</v>
      </c>
      <c r="AF133" s="58">
        <f>IF(AG133&gt;0,AG68:AG135,0)</f>
        <v>1277</v>
      </c>
      <c r="AG133" s="58">
        <f>AC133-AE133</f>
        <v>1277</v>
      </c>
      <c r="AI133">
        <f>IF(S133=1,O133-T133,0)</f>
        <v>0</v>
      </c>
      <c r="AJ133">
        <f>IF(S133=2,O133-T133,0)</f>
        <v>0</v>
      </c>
      <c r="AK133">
        <f>IF(S133=3,O133-T133,0)</f>
        <v>0</v>
      </c>
      <c r="AL133">
        <f>IF(S133=4,O133-T133,0)</f>
        <v>1291</v>
      </c>
      <c r="AN133">
        <f>IF(S133=1,O133-T133,0)</f>
        <v>0</v>
      </c>
      <c r="AO133">
        <f>IF(S133=2,O133-T133,0)</f>
        <v>0</v>
      </c>
      <c r="AP133">
        <f>IF(S133=3,O133-T133,0)</f>
        <v>0</v>
      </c>
      <c r="AQ133">
        <f>IF(S133=4,O133-T133,0)</f>
        <v>1291</v>
      </c>
    </row>
    <row r="134" spans="1:44" s="84" customFormat="1" x14ac:dyDescent="0.3">
      <c r="B134" s="86" t="s">
        <v>492</v>
      </c>
      <c r="C134" t="s">
        <v>493</v>
      </c>
      <c r="D134" s="85" t="s">
        <v>197</v>
      </c>
      <c r="E134" s="84">
        <f t="shared" si="84"/>
        <v>0</v>
      </c>
      <c r="F134" s="84">
        <f t="shared" si="85"/>
        <v>1</v>
      </c>
      <c r="G134" s="84" t="s">
        <v>494</v>
      </c>
      <c r="H134" s="85">
        <v>13</v>
      </c>
      <c r="I134" s="85"/>
      <c r="J134" s="84" t="s">
        <v>63</v>
      </c>
      <c r="K134" s="84" t="s">
        <v>55</v>
      </c>
      <c r="L134" s="90">
        <v>0</v>
      </c>
      <c r="M134" s="96" t="s">
        <v>36</v>
      </c>
      <c r="O134" s="107">
        <v>2537</v>
      </c>
      <c r="P134" s="58">
        <f t="shared" si="86"/>
        <v>1015</v>
      </c>
      <c r="Q134" s="84">
        <f t="shared" si="87"/>
        <v>2140</v>
      </c>
      <c r="R134" s="57" t="s">
        <v>495</v>
      </c>
      <c r="S134" s="89">
        <v>4</v>
      </c>
      <c r="T134" s="89">
        <f t="shared" si="103"/>
        <v>118</v>
      </c>
      <c r="U134" s="87" t="str">
        <f t="shared" si="88"/>
        <v>PAYPAL</v>
      </c>
      <c r="V134" s="97">
        <v>2</v>
      </c>
      <c r="W134" s="90" t="s">
        <v>260</v>
      </c>
      <c r="X134" s="89">
        <f t="shared" si="89"/>
        <v>3155</v>
      </c>
      <c r="Y134" s="89"/>
      <c r="Z134" s="58">
        <f t="shared" si="90"/>
        <v>0</v>
      </c>
      <c r="AA134" s="58">
        <f t="shared" si="91"/>
        <v>130</v>
      </c>
      <c r="AB134" s="58"/>
      <c r="AC134" s="98">
        <f t="shared" si="92"/>
        <v>2525</v>
      </c>
      <c r="AD134" s="58"/>
      <c r="AE134" s="58">
        <f t="shared" si="93"/>
        <v>30</v>
      </c>
      <c r="AF134" s="58">
        <f>IF(AG134&gt;0,AG82:AG134,0)</f>
        <v>2495</v>
      </c>
      <c r="AG134" s="58">
        <f>AC134-AE134</f>
        <v>2495</v>
      </c>
      <c r="AI134" s="84">
        <f>IF(S134=1,O134-T134,0)</f>
        <v>0</v>
      </c>
      <c r="AJ134" s="84">
        <f>IF(S134=2,O134-T134,0)</f>
        <v>0</v>
      </c>
      <c r="AK134" s="84">
        <f>IF(S134=3,O134-T134,0)</f>
        <v>0</v>
      </c>
      <c r="AL134" s="84">
        <f>IF(S134=4,O134-T134,0)</f>
        <v>2419</v>
      </c>
      <c r="AN134" s="84">
        <f>IF(S134=1,O134-T134,0)</f>
        <v>0</v>
      </c>
      <c r="AO134" s="84">
        <f>IF(S134=2,O134-T134,0)</f>
        <v>0</v>
      </c>
      <c r="AP134" s="84">
        <f>IF(S134=3,O134-T134,0)</f>
        <v>0</v>
      </c>
      <c r="AQ134" s="84">
        <f>IF(S134=4,O134-T134,0)</f>
        <v>2419</v>
      </c>
    </row>
    <row r="135" spans="1:44" s="84" customFormat="1" ht="15.6" x14ac:dyDescent="0.3">
      <c r="B135" s="171" t="s">
        <v>483</v>
      </c>
      <c r="C135" t="s">
        <v>484</v>
      </c>
      <c r="D135" s="85" t="s">
        <v>370</v>
      </c>
      <c r="E135" s="84">
        <f t="shared" si="84"/>
        <v>0</v>
      </c>
      <c r="F135" s="84">
        <f t="shared" si="85"/>
        <v>1</v>
      </c>
      <c r="G135" s="85" t="s">
        <v>485</v>
      </c>
      <c r="H135" s="85">
        <v>7</v>
      </c>
      <c r="I135" s="85"/>
      <c r="J135" s="85" t="s">
        <v>74</v>
      </c>
      <c r="K135" s="84" t="s">
        <v>55</v>
      </c>
      <c r="L135" s="90">
        <v>0</v>
      </c>
      <c r="M135" s="96" t="s">
        <v>36</v>
      </c>
      <c r="O135" s="107">
        <v>1565</v>
      </c>
      <c r="P135" s="58">
        <f t="shared" si="86"/>
        <v>626</v>
      </c>
      <c r="Q135" s="84">
        <f t="shared" si="87"/>
        <v>1520</v>
      </c>
      <c r="R135" s="57" t="s">
        <v>486</v>
      </c>
      <c r="S135" s="89">
        <v>4</v>
      </c>
      <c r="T135" s="89">
        <f t="shared" si="103"/>
        <v>81</v>
      </c>
      <c r="U135" s="87" t="str">
        <f t="shared" si="88"/>
        <v>PAYPAL</v>
      </c>
      <c r="V135" s="97">
        <v>2</v>
      </c>
      <c r="W135" s="188" t="s">
        <v>594</v>
      </c>
      <c r="X135" s="89">
        <f t="shared" si="89"/>
        <v>2146</v>
      </c>
      <c r="Y135" s="89"/>
      <c r="Z135" s="58">
        <f t="shared" si="90"/>
        <v>0</v>
      </c>
      <c r="AA135" s="58">
        <f t="shared" si="91"/>
        <v>130</v>
      </c>
      <c r="AB135" s="58"/>
      <c r="AC135" s="98">
        <f t="shared" si="92"/>
        <v>1516</v>
      </c>
      <c r="AD135" s="58"/>
      <c r="AE135" s="58">
        <f t="shared" si="93"/>
        <v>30</v>
      </c>
      <c r="AF135" s="58">
        <f>IF(AG135&gt;0,AG69:AG135,0)</f>
        <v>1486</v>
      </c>
      <c r="AG135" s="58">
        <f>AC135-AE135</f>
        <v>1486</v>
      </c>
      <c r="AI135" s="84">
        <f>IF(S135=1,O135-T135,0)</f>
        <v>0</v>
      </c>
      <c r="AJ135" s="84">
        <f>IF(S135=2,O135-T135,0)</f>
        <v>0</v>
      </c>
      <c r="AK135" s="84">
        <f>IF(S135=3,O135-T135,0)</f>
        <v>0</v>
      </c>
      <c r="AL135" s="84">
        <f>IF(S135=4,O135-T135,0)</f>
        <v>1484</v>
      </c>
      <c r="AN135" s="84">
        <f>IF(S135=1,O135-T135,0)</f>
        <v>0</v>
      </c>
      <c r="AO135" s="84">
        <f>IF(S135=2,O135-T135,0)</f>
        <v>0</v>
      </c>
      <c r="AP135" s="84">
        <f>IF(S135=3,O135-T135,0)</f>
        <v>0</v>
      </c>
      <c r="AQ135" s="84">
        <f>IF(S135=4,O135-T135,0)</f>
        <v>1484</v>
      </c>
    </row>
    <row r="136" spans="1:44" x14ac:dyDescent="0.3">
      <c r="B136" s="148" t="s">
        <v>529</v>
      </c>
      <c r="C136" t="s">
        <v>530</v>
      </c>
      <c r="D136" s="85" t="s">
        <v>30</v>
      </c>
      <c r="E136" s="84">
        <f t="shared" si="84"/>
        <v>0</v>
      </c>
      <c r="F136" s="84">
        <f t="shared" si="85"/>
        <v>1</v>
      </c>
      <c r="G136" s="85" t="s">
        <v>531</v>
      </c>
      <c r="H136" s="85">
        <v>7</v>
      </c>
      <c r="I136" s="85"/>
      <c r="J136" s="85" t="s">
        <v>103</v>
      </c>
      <c r="K136" s="84" t="s">
        <v>55</v>
      </c>
      <c r="L136" s="90">
        <v>0</v>
      </c>
      <c r="M136" s="96" t="s">
        <v>36</v>
      </c>
      <c r="N136" s="84"/>
      <c r="O136" s="107">
        <v>1364</v>
      </c>
      <c r="P136" s="58">
        <f t="shared" si="86"/>
        <v>546</v>
      </c>
      <c r="Q136" s="84">
        <f t="shared" si="87"/>
        <v>1391</v>
      </c>
      <c r="R136" s="57" t="s">
        <v>532</v>
      </c>
      <c r="S136" s="89">
        <v>4</v>
      </c>
      <c r="T136" s="89">
        <f t="shared" si="103"/>
        <v>73</v>
      </c>
      <c r="U136" s="87" t="str">
        <f t="shared" si="88"/>
        <v>PAYPAL</v>
      </c>
      <c r="V136" s="97">
        <v>2</v>
      </c>
      <c r="W136" s="90" t="s">
        <v>612</v>
      </c>
      <c r="X136" s="89">
        <f t="shared" si="89"/>
        <v>1937</v>
      </c>
      <c r="Y136" s="89"/>
      <c r="Z136" s="58">
        <f t="shared" si="90"/>
        <v>0</v>
      </c>
      <c r="AA136" s="58">
        <f t="shared" si="91"/>
        <v>130</v>
      </c>
      <c r="AB136" s="58"/>
      <c r="AC136" s="98">
        <f t="shared" si="92"/>
        <v>1307</v>
      </c>
      <c r="AD136" s="58"/>
      <c r="AE136" s="58">
        <f t="shared" si="93"/>
        <v>30</v>
      </c>
      <c r="AF136" s="58">
        <f>IF(AG136&gt;0,AG45:AG136,0)</f>
        <v>1277</v>
      </c>
      <c r="AG136" s="58">
        <f>AC136-AE136</f>
        <v>1277</v>
      </c>
      <c r="AI136">
        <f>IF(S136=1,O136-T136,0)</f>
        <v>0</v>
      </c>
      <c r="AJ136">
        <f>IF(S136=2,O136-T136,0)</f>
        <v>0</v>
      </c>
      <c r="AK136">
        <f>IF(S136=3,O136-T136,0)</f>
        <v>0</v>
      </c>
      <c r="AL136">
        <f>IF(S136=4,O136-T136,0)</f>
        <v>1291</v>
      </c>
      <c r="AN136">
        <f>IF(S136=1,O136-T136,0)</f>
        <v>0</v>
      </c>
      <c r="AO136">
        <f>IF(S136=2,O136-T136,0)</f>
        <v>0</v>
      </c>
      <c r="AP136">
        <f>IF(S136=3,O136-T136,0)</f>
        <v>0</v>
      </c>
      <c r="AQ136">
        <f>IF(S136=4,O136-T136,0)</f>
        <v>1291</v>
      </c>
    </row>
    <row r="137" spans="1:44" s="84" customFormat="1" x14ac:dyDescent="0.3">
      <c r="B137" s="103" t="s">
        <v>82</v>
      </c>
      <c r="C137" s="86" t="s">
        <v>42</v>
      </c>
      <c r="D137" s="85" t="s">
        <v>42</v>
      </c>
      <c r="E137" s="84">
        <f t="shared" si="84"/>
        <v>5</v>
      </c>
      <c r="F137" s="84">
        <f t="shared" si="85"/>
        <v>0</v>
      </c>
      <c r="G137" s="108" t="s">
        <v>412</v>
      </c>
      <c r="H137" s="85">
        <v>5</v>
      </c>
      <c r="I137" s="85"/>
      <c r="J137" s="84" t="s">
        <v>63</v>
      </c>
      <c r="K137" s="84" t="s">
        <v>55</v>
      </c>
      <c r="L137" s="90">
        <v>3</v>
      </c>
      <c r="M137" s="96" t="s">
        <v>36</v>
      </c>
      <c r="O137" s="107">
        <v>0</v>
      </c>
      <c r="P137" s="58">
        <f t="shared" si="86"/>
        <v>0</v>
      </c>
      <c r="Q137" s="84">
        <f t="shared" si="87"/>
        <v>0</v>
      </c>
      <c r="R137" s="57"/>
      <c r="S137" s="89"/>
      <c r="T137" s="89">
        <f t="shared" si="103"/>
        <v>0</v>
      </c>
      <c r="U137" s="87" t="str">
        <f t="shared" si="88"/>
        <v>NONE</v>
      </c>
      <c r="V137" s="97"/>
      <c r="W137" s="90"/>
      <c r="X137" s="89">
        <f t="shared" si="89"/>
        <v>0</v>
      </c>
      <c r="Y137" s="89"/>
      <c r="Z137" s="58">
        <f t="shared" si="90"/>
        <v>0</v>
      </c>
      <c r="AA137" s="58">
        <f t="shared" si="91"/>
        <v>130</v>
      </c>
      <c r="AB137" s="58"/>
      <c r="AC137" s="98">
        <f t="shared" si="92"/>
        <v>-130</v>
      </c>
      <c r="AD137" s="58"/>
      <c r="AE137" s="58">
        <f t="shared" si="93"/>
        <v>0</v>
      </c>
      <c r="AF137" s="58">
        <f>IF(AG137&gt;0,AG75:AG137,0)</f>
        <v>0</v>
      </c>
      <c r="AG137" s="58">
        <f t="shared" si="94"/>
        <v>-130</v>
      </c>
      <c r="AI137">
        <f t="shared" si="95"/>
        <v>0</v>
      </c>
      <c r="AJ137">
        <f t="shared" si="96"/>
        <v>0</v>
      </c>
      <c r="AK137">
        <f t="shared" si="97"/>
        <v>0</v>
      </c>
      <c r="AL137">
        <f t="shared" si="98"/>
        <v>0</v>
      </c>
      <c r="AM137"/>
      <c r="AN137">
        <f t="shared" si="99"/>
        <v>0</v>
      </c>
      <c r="AO137">
        <f t="shared" si="100"/>
        <v>0</v>
      </c>
      <c r="AP137">
        <f t="shared" si="101"/>
        <v>0</v>
      </c>
      <c r="AQ137">
        <f t="shared" si="102"/>
        <v>0</v>
      </c>
    </row>
    <row r="138" spans="1:44" x14ac:dyDescent="0.3">
      <c r="B138" s="8" t="s">
        <v>577</v>
      </c>
      <c r="C138" t="s">
        <v>578</v>
      </c>
      <c r="D138" s="84" t="s">
        <v>370</v>
      </c>
      <c r="E138" s="84">
        <f t="shared" si="84"/>
        <v>0</v>
      </c>
      <c r="F138" s="84">
        <f t="shared" si="85"/>
        <v>1</v>
      </c>
      <c r="G138" s="84" t="s">
        <v>579</v>
      </c>
      <c r="H138" s="85">
        <v>9</v>
      </c>
      <c r="I138" s="85"/>
      <c r="J138" s="84" t="s">
        <v>399</v>
      </c>
      <c r="K138" s="84" t="s">
        <v>55</v>
      </c>
      <c r="L138" s="90">
        <v>0</v>
      </c>
      <c r="M138" s="96" t="s">
        <v>36</v>
      </c>
      <c r="N138" s="84"/>
      <c r="O138" s="184">
        <v>1872</v>
      </c>
      <c r="P138" s="58">
        <f t="shared" si="86"/>
        <v>749</v>
      </c>
      <c r="Q138" s="84">
        <f t="shared" si="87"/>
        <v>1716</v>
      </c>
      <c r="R138" s="57" t="s">
        <v>580</v>
      </c>
      <c r="S138" s="89">
        <v>4</v>
      </c>
      <c r="T138" s="89">
        <f t="shared" si="103"/>
        <v>93</v>
      </c>
      <c r="U138" s="87" t="str">
        <f t="shared" si="88"/>
        <v>PAYPAL</v>
      </c>
      <c r="V138" s="97">
        <v>2</v>
      </c>
      <c r="W138" s="90" t="s">
        <v>559</v>
      </c>
      <c r="X138" s="89">
        <f t="shared" si="89"/>
        <v>2465</v>
      </c>
      <c r="Y138" s="89"/>
      <c r="Z138" s="58">
        <f t="shared" si="90"/>
        <v>0</v>
      </c>
      <c r="AA138" s="58">
        <f t="shared" si="91"/>
        <v>130</v>
      </c>
      <c r="AB138" s="58"/>
      <c r="AC138" s="98">
        <f t="shared" si="92"/>
        <v>1835</v>
      </c>
      <c r="AD138" s="58"/>
      <c r="AE138" s="58">
        <f t="shared" si="93"/>
        <v>30</v>
      </c>
      <c r="AF138" s="58">
        <f>IF(AG138&gt;0,AG36:AG138,0)</f>
        <v>1805</v>
      </c>
      <c r="AG138" s="58">
        <f>AC138-AE138</f>
        <v>1805</v>
      </c>
      <c r="AI138">
        <f>IF(S138=1,O138-T138,0)</f>
        <v>0</v>
      </c>
      <c r="AJ138">
        <f>IF(S138=2,O138-T138,0)</f>
        <v>0</v>
      </c>
      <c r="AK138">
        <f>IF(S138=3,O138-T138,0)</f>
        <v>0</v>
      </c>
      <c r="AL138">
        <f>IF(S138=4,O138-T138,0)</f>
        <v>1779</v>
      </c>
      <c r="AN138">
        <f>IF(S138=1,O138-T138,0)</f>
        <v>0</v>
      </c>
      <c r="AO138">
        <f>IF(S138=2,O138-T138,0)</f>
        <v>0</v>
      </c>
      <c r="AP138">
        <f>IF(S138=3,O138-T138,0)</f>
        <v>0</v>
      </c>
      <c r="AQ138">
        <f>IF(S138=4,O138-T138,0)</f>
        <v>1779</v>
      </c>
    </row>
    <row r="139" spans="1:44" x14ac:dyDescent="0.3">
      <c r="B139" s="182" t="s">
        <v>523</v>
      </c>
      <c r="C139" t="s">
        <v>524</v>
      </c>
      <c r="D139" s="85" t="s">
        <v>180</v>
      </c>
      <c r="E139" s="84">
        <f t="shared" si="84"/>
        <v>0</v>
      </c>
      <c r="F139" s="84">
        <f t="shared" si="85"/>
        <v>1</v>
      </c>
      <c r="G139" s="85" t="s">
        <v>525</v>
      </c>
      <c r="H139" s="85">
        <v>7</v>
      </c>
      <c r="I139" s="85"/>
      <c r="J139" s="85" t="s">
        <v>526</v>
      </c>
      <c r="K139" s="84" t="s">
        <v>55</v>
      </c>
      <c r="L139" s="90">
        <v>0</v>
      </c>
      <c r="M139" s="96" t="s">
        <v>36</v>
      </c>
      <c r="N139" s="84"/>
      <c r="O139" s="107">
        <v>1364</v>
      </c>
      <c r="P139" s="58">
        <f t="shared" si="86"/>
        <v>546</v>
      </c>
      <c r="Q139" s="84">
        <f t="shared" si="87"/>
        <v>1391</v>
      </c>
      <c r="R139" s="57" t="s">
        <v>527</v>
      </c>
      <c r="S139" s="89">
        <v>4</v>
      </c>
      <c r="T139" s="89">
        <f t="shared" si="103"/>
        <v>73</v>
      </c>
      <c r="U139" s="87" t="str">
        <f t="shared" si="88"/>
        <v>PAYPAL</v>
      </c>
      <c r="V139" s="97">
        <v>2</v>
      </c>
      <c r="W139" s="90" t="s">
        <v>25</v>
      </c>
      <c r="X139" s="89">
        <f t="shared" si="89"/>
        <v>1937</v>
      </c>
      <c r="Y139" s="89"/>
      <c r="Z139" s="58">
        <f t="shared" si="90"/>
        <v>0</v>
      </c>
      <c r="AA139" s="58">
        <f t="shared" si="91"/>
        <v>130</v>
      </c>
      <c r="AB139" s="58"/>
      <c r="AC139" s="98">
        <f t="shared" si="92"/>
        <v>1307</v>
      </c>
      <c r="AD139" s="58"/>
      <c r="AE139" s="58">
        <f t="shared" si="93"/>
        <v>30</v>
      </c>
      <c r="AF139" s="58">
        <f>IF(AG139&gt;0,AG47:AG139,0)</f>
        <v>1277</v>
      </c>
      <c r="AG139" s="58">
        <f>AC139-AE139</f>
        <v>1277</v>
      </c>
      <c r="AI139">
        <f>IF(S139=1,O139-T139,0)</f>
        <v>0</v>
      </c>
      <c r="AJ139">
        <f>IF(S139=2,O139-T139,0)</f>
        <v>0</v>
      </c>
      <c r="AK139">
        <f>IF(S139=3,O139-T139,0)</f>
        <v>0</v>
      </c>
      <c r="AL139">
        <f>IF(S139=4,O139-T139,0)</f>
        <v>1291</v>
      </c>
      <c r="AN139">
        <f>IF(S139=1,O139-T139,0)</f>
        <v>0</v>
      </c>
      <c r="AO139">
        <f>IF(S139=2,O139-T139,0)</f>
        <v>0</v>
      </c>
      <c r="AP139">
        <f>IF(S139=3,O139-T139,0)</f>
        <v>0</v>
      </c>
      <c r="AQ139">
        <f>IF(S139=4,O139-T139,0)</f>
        <v>1291</v>
      </c>
    </row>
    <row r="140" spans="1:44" x14ac:dyDescent="0.3">
      <c r="B140" s="186" t="s">
        <v>591</v>
      </c>
      <c r="C140" s="84" t="s">
        <v>593</v>
      </c>
      <c r="D140" s="85" t="s">
        <v>370</v>
      </c>
      <c r="E140" s="84">
        <f t="shared" si="84"/>
        <v>0</v>
      </c>
      <c r="F140" s="84">
        <f t="shared" si="85"/>
        <v>1</v>
      </c>
      <c r="G140" s="190" t="s">
        <v>613</v>
      </c>
      <c r="H140" s="85">
        <v>8</v>
      </c>
      <c r="I140" s="85"/>
      <c r="J140" s="85" t="s">
        <v>434</v>
      </c>
      <c r="K140" s="84" t="s">
        <v>55</v>
      </c>
      <c r="L140" s="90">
        <v>0</v>
      </c>
      <c r="M140" s="96" t="s">
        <v>36</v>
      </c>
      <c r="N140" s="84"/>
      <c r="O140" s="107">
        <v>1685</v>
      </c>
      <c r="P140" s="58">
        <f t="shared" si="86"/>
        <v>674</v>
      </c>
      <c r="Q140" s="84">
        <f t="shared" si="87"/>
        <v>1596</v>
      </c>
      <c r="R140" s="57" t="s">
        <v>592</v>
      </c>
      <c r="S140" s="89">
        <v>4</v>
      </c>
      <c r="T140" s="89">
        <f t="shared" si="103"/>
        <v>85</v>
      </c>
      <c r="U140" s="87" t="str">
        <f t="shared" si="88"/>
        <v>PAYPAL</v>
      </c>
      <c r="V140" s="97">
        <v>2</v>
      </c>
      <c r="W140" s="90" t="s">
        <v>25</v>
      </c>
      <c r="X140" s="89">
        <f t="shared" si="89"/>
        <v>2270</v>
      </c>
      <c r="Y140" s="89"/>
      <c r="Z140" s="58">
        <f t="shared" si="90"/>
        <v>0</v>
      </c>
      <c r="AA140" s="58">
        <f t="shared" si="91"/>
        <v>130</v>
      </c>
      <c r="AB140" s="58"/>
      <c r="AC140" s="98">
        <f t="shared" si="92"/>
        <v>1640</v>
      </c>
      <c r="AD140" s="58"/>
      <c r="AE140" s="58">
        <f t="shared" si="93"/>
        <v>30</v>
      </c>
      <c r="AF140" s="58">
        <f>IF(AG140&gt;0,AG71:AG140,0)</f>
        <v>1610</v>
      </c>
      <c r="AG140" s="58">
        <f>AC140-AE140</f>
        <v>1610</v>
      </c>
      <c r="AI140">
        <f>IF(S140=1,O140-T140,0)</f>
        <v>0</v>
      </c>
      <c r="AJ140">
        <f>IF(S140=2,O140-T140,0)</f>
        <v>0</v>
      </c>
      <c r="AK140">
        <f>IF(S140=3,O140-T140,0)</f>
        <v>0</v>
      </c>
      <c r="AL140">
        <f>IF(S140=4,O140-T140,0)</f>
        <v>1600</v>
      </c>
      <c r="AN140">
        <f>IF(S140=1,O140-T140,0)</f>
        <v>0</v>
      </c>
      <c r="AO140">
        <f>IF(S140=2,O140-T140,0)</f>
        <v>0</v>
      </c>
      <c r="AP140">
        <f>IF(S140=3,O140-T140,0)</f>
        <v>0</v>
      </c>
      <c r="AQ140">
        <f>IF(S140=4,O140-T140,0)</f>
        <v>1600</v>
      </c>
    </row>
    <row r="141" spans="1:44" s="84" customFormat="1" x14ac:dyDescent="0.3">
      <c r="B141" s="103" t="s">
        <v>82</v>
      </c>
      <c r="C141" s="86" t="s">
        <v>42</v>
      </c>
      <c r="D141" s="85" t="s">
        <v>42</v>
      </c>
      <c r="E141" s="84">
        <f t="shared" si="84"/>
        <v>4</v>
      </c>
      <c r="F141" s="84">
        <f t="shared" si="85"/>
        <v>0</v>
      </c>
      <c r="G141" s="108" t="s">
        <v>596</v>
      </c>
      <c r="H141" s="85">
        <v>4</v>
      </c>
      <c r="I141" s="85"/>
      <c r="J141" s="84" t="s">
        <v>63</v>
      </c>
      <c r="K141" s="84" t="s">
        <v>55</v>
      </c>
      <c r="L141" s="90">
        <v>3</v>
      </c>
      <c r="M141" s="96" t="s">
        <v>36</v>
      </c>
      <c r="O141" s="107">
        <v>0</v>
      </c>
      <c r="P141" s="58">
        <f t="shared" si="86"/>
        <v>0</v>
      </c>
      <c r="Q141" s="84">
        <f t="shared" si="87"/>
        <v>0</v>
      </c>
      <c r="R141" s="57"/>
      <c r="S141" s="89"/>
      <c r="T141" s="89">
        <f t="shared" si="103"/>
        <v>0</v>
      </c>
      <c r="U141" s="87" t="str">
        <f t="shared" si="88"/>
        <v>NONE</v>
      </c>
      <c r="V141" s="97"/>
      <c r="W141" s="90"/>
      <c r="X141" s="89">
        <f t="shared" si="89"/>
        <v>0</v>
      </c>
      <c r="Y141" s="89"/>
      <c r="Z141" s="58">
        <f t="shared" si="90"/>
        <v>0</v>
      </c>
      <c r="AA141" s="58">
        <f t="shared" si="91"/>
        <v>130</v>
      </c>
      <c r="AB141" s="58"/>
      <c r="AC141" s="98">
        <f t="shared" si="92"/>
        <v>-130</v>
      </c>
      <c r="AD141" s="58"/>
      <c r="AE141" s="58">
        <f t="shared" si="93"/>
        <v>0</v>
      </c>
      <c r="AF141" s="58">
        <f>IF(AG141&gt;0,AG76:AG141,0)</f>
        <v>0</v>
      </c>
      <c r="AG141" s="58">
        <f t="shared" si="94"/>
        <v>-130</v>
      </c>
      <c r="AI141">
        <f t="shared" si="95"/>
        <v>0</v>
      </c>
      <c r="AJ141">
        <f t="shared" si="96"/>
        <v>0</v>
      </c>
      <c r="AK141">
        <f t="shared" si="97"/>
        <v>0</v>
      </c>
      <c r="AL141">
        <f t="shared" si="98"/>
        <v>0</v>
      </c>
      <c r="AM141"/>
      <c r="AN141">
        <f t="shared" si="99"/>
        <v>0</v>
      </c>
      <c r="AO141">
        <f t="shared" si="100"/>
        <v>0</v>
      </c>
      <c r="AP141">
        <f t="shared" si="101"/>
        <v>0</v>
      </c>
      <c r="AQ141">
        <f t="shared" si="102"/>
        <v>0</v>
      </c>
    </row>
    <row r="142" spans="1:44" x14ac:dyDescent="0.3">
      <c r="A142" s="45"/>
      <c r="B142" s="192">
        <f>COUNTIFS(D110:D141,"&lt;&gt;NA")-COUNTIFS(D110:D141,"="&amp;D1)</f>
        <v>21</v>
      </c>
      <c r="C142" s="174" t="s">
        <v>472</v>
      </c>
      <c r="D142" s="46">
        <f>SUM(E109:E141)</f>
        <v>112</v>
      </c>
      <c r="E142" s="46"/>
      <c r="F142" s="46"/>
      <c r="G142" s="63" t="s">
        <v>215</v>
      </c>
      <c r="H142" s="62">
        <f>SUM(H109:H141)-SUM(E109:E141)</f>
        <v>221</v>
      </c>
      <c r="I142" s="62"/>
      <c r="J142" s="61">
        <f>ROUND(H142/7,0)</f>
        <v>32</v>
      </c>
      <c r="K142" s="61" t="s">
        <v>214</v>
      </c>
      <c r="L142" s="63" t="s">
        <v>216</v>
      </c>
      <c r="M142" s="151">
        <f>ROUND(AF142/J142,0)</f>
        <v>1335</v>
      </c>
      <c r="N142" s="45"/>
      <c r="O142" s="82">
        <f>SUM(O109:O141)</f>
        <v>44072</v>
      </c>
      <c r="P142" s="49"/>
      <c r="Q142" s="80">
        <f>Z142</f>
        <v>0</v>
      </c>
      <c r="R142" s="79" t="s">
        <v>254</v>
      </c>
      <c r="S142" s="126"/>
      <c r="T142" s="73"/>
      <c r="U142" s="48"/>
      <c r="V142" s="48"/>
      <c r="W142" s="47"/>
      <c r="X142" s="49"/>
      <c r="Y142" s="49">
        <f>Z142</f>
        <v>0</v>
      </c>
      <c r="Z142" s="49">
        <f>SUM(Z109:Z141)</f>
        <v>0</v>
      </c>
      <c r="AA142" s="49">
        <f>SUM(AA109:AA141)</f>
        <v>4030</v>
      </c>
      <c r="AB142" s="49">
        <f>AA142</f>
        <v>4030</v>
      </c>
      <c r="AC142" s="45"/>
      <c r="AD142" s="49"/>
      <c r="AE142" s="49">
        <f>SUM(AE109:AE141)</f>
        <v>630</v>
      </c>
      <c r="AF142" s="49">
        <f>SUM(AF109:AF141)</f>
        <v>42713</v>
      </c>
      <c r="AG142" s="82">
        <f>SUM(AG109:AG141)</f>
        <v>41413</v>
      </c>
      <c r="AH142" s="45">
        <f>AG142</f>
        <v>41413</v>
      </c>
      <c r="AI142" s="129">
        <f>SUM(AI110:AI141)</f>
        <v>7106</v>
      </c>
      <c r="AJ142" s="129">
        <f>SUM(AJ110:AJ141)</f>
        <v>11280</v>
      </c>
      <c r="AK142" s="129">
        <f>SUM(AK110:AK141)</f>
        <v>11239</v>
      </c>
      <c r="AL142" s="129">
        <f>SUM(AL110:AL141)</f>
        <v>12446</v>
      </c>
      <c r="AM142" s="131">
        <f>SUM(AI142:AL142)</f>
        <v>42071</v>
      </c>
      <c r="AN142" s="129">
        <f>SUM(AN110:AN141)</f>
        <v>7106</v>
      </c>
      <c r="AO142" s="129">
        <f>SUM(AO110:AO141)</f>
        <v>11280</v>
      </c>
      <c r="AP142" s="129">
        <f>SUM(AP110:AP141)</f>
        <v>11239</v>
      </c>
      <c r="AQ142" s="129">
        <f>SUM(AQ110:AQ141)</f>
        <v>12446</v>
      </c>
      <c r="AR142" s="131">
        <f>SUM(AN142:AQ142)</f>
        <v>42071</v>
      </c>
    </row>
    <row r="143" spans="1:44" ht="21" customHeight="1" x14ac:dyDescent="0.45">
      <c r="A143" s="130"/>
      <c r="B143" s="150">
        <v>2014</v>
      </c>
      <c r="C143" s="133"/>
      <c r="D143" s="132"/>
      <c r="E143" s="132"/>
      <c r="F143" s="132"/>
      <c r="G143" s="134"/>
      <c r="H143" s="135"/>
      <c r="I143" s="135"/>
      <c r="J143" s="136"/>
      <c r="K143" s="136"/>
      <c r="L143" s="134"/>
      <c r="M143" s="137"/>
      <c r="N143" s="130"/>
      <c r="O143" s="138"/>
      <c r="P143" s="139"/>
      <c r="Q143" s="140"/>
      <c r="R143" s="141"/>
      <c r="S143" s="142"/>
      <c r="T143" s="143"/>
      <c r="U143" s="144"/>
      <c r="V143" s="144"/>
      <c r="W143" s="145"/>
      <c r="X143" s="139"/>
      <c r="Y143" s="139"/>
      <c r="Z143" s="139"/>
      <c r="AA143" s="139"/>
      <c r="AB143" s="139"/>
      <c r="AC143" s="130"/>
      <c r="AD143" s="139"/>
      <c r="AE143" s="139"/>
      <c r="AF143" s="139"/>
      <c r="AG143" s="138"/>
      <c r="AH143" s="45"/>
      <c r="AI143" s="119">
        <f>ROUNDUP(AI142*0.04,0)</f>
        <v>285</v>
      </c>
      <c r="AJ143" s="119">
        <f>ROUNDUP(AJ142*0.04,0)</f>
        <v>452</v>
      </c>
      <c r="AK143" s="119">
        <f>ROUNDUP(AK142*0.04,0)</f>
        <v>450</v>
      </c>
      <c r="AL143" s="119">
        <f>ROUNDUP(AL142*0.04,0)</f>
        <v>498</v>
      </c>
      <c r="AM143" s="131">
        <f>SUM(AI143:AL143)</f>
        <v>1685</v>
      </c>
      <c r="AN143" s="119">
        <f>ROUNDUP(AN142*0.06,0)</f>
        <v>427</v>
      </c>
      <c r="AO143" s="119">
        <f>ROUNDUP(AO142*0.06,0)</f>
        <v>677</v>
      </c>
      <c r="AP143" s="119">
        <f>ROUNDUP(AP142*0.06,0)</f>
        <v>675</v>
      </c>
      <c r="AQ143" s="119">
        <f>ROUNDUP(AQ142*0.06,0)</f>
        <v>747</v>
      </c>
      <c r="AR143" s="131">
        <f>SUM(AN143:AQ143)</f>
        <v>2526</v>
      </c>
    </row>
    <row r="144" spans="1:44" s="84" customFormat="1" x14ac:dyDescent="0.3">
      <c r="B144" s="103" t="s">
        <v>82</v>
      </c>
      <c r="C144" s="86" t="s">
        <v>42</v>
      </c>
      <c r="D144" s="84" t="s">
        <v>42</v>
      </c>
      <c r="E144" s="84">
        <f t="shared" ref="E144:E149" si="104">IF(D144=$B$12,H144,0)</f>
        <v>58</v>
      </c>
      <c r="F144" s="84">
        <f>IF(E144&gt;0,0,1)</f>
        <v>0</v>
      </c>
      <c r="G144" s="108" t="s">
        <v>440</v>
      </c>
      <c r="H144" s="148">
        <v>58</v>
      </c>
      <c r="I144" s="85"/>
      <c r="J144" s="84" t="s">
        <v>143</v>
      </c>
      <c r="K144" s="84" t="s">
        <v>55</v>
      </c>
      <c r="L144" s="90">
        <v>3</v>
      </c>
      <c r="M144" s="4" t="s">
        <v>387</v>
      </c>
      <c r="O144" s="107">
        <v>0</v>
      </c>
      <c r="P144" s="58">
        <f>ROUND((O144*0.4),0)</f>
        <v>0</v>
      </c>
      <c r="Q144" s="84">
        <f>IF(O144&gt;0,((O144+500)-P144)+T144,0)</f>
        <v>0</v>
      </c>
      <c r="R144" s="57"/>
      <c r="S144" s="89">
        <v>1</v>
      </c>
      <c r="T144" s="89">
        <f>IF(U144=$AD$2,47,IF(U144=$AD$1,ROUND(((O144+500)*0.039),0),IF(U144=$AD$3,0)))</f>
        <v>0</v>
      </c>
      <c r="U144" s="87" t="str">
        <f t="shared" ref="U144:U149" si="105">IF(V144=1,$AD$2,IF(V144=2,$AD$1,IF(AND(V144&lt;&gt;1,V144&lt;&gt;20)=TRUE,$AD$3)))</f>
        <v>NONE</v>
      </c>
      <c r="V144" s="97"/>
      <c r="W144" s="90"/>
      <c r="X144" s="89">
        <f t="shared" ref="X144:X149" si="106">Q144+P144</f>
        <v>0</v>
      </c>
      <c r="Y144" s="89"/>
      <c r="Z144" s="58">
        <f t="shared" ref="Z144:Z149" si="107">IF(W144=$Z$1,Q144-500,0)</f>
        <v>0</v>
      </c>
      <c r="AA144" s="58">
        <f t="shared" ref="AA144:AA149" si="108">IF(H144&gt;0,130,0)</f>
        <v>130</v>
      </c>
      <c r="AB144" s="58"/>
      <c r="AC144" s="98">
        <f t="shared" ref="AC144:AC149" si="109">(O144+T144)-AA144</f>
        <v>-130</v>
      </c>
      <c r="AD144" s="58"/>
      <c r="AE144" s="58">
        <f t="shared" ref="AE144:AE149" si="110">IF(H144&gt;0,30*F144,0)</f>
        <v>0</v>
      </c>
      <c r="AF144" s="58">
        <f>IF(AG144&gt;0,AG78:AG144,0)</f>
        <v>0</v>
      </c>
      <c r="AG144" s="58">
        <f t="shared" ref="AG144:AG157" si="111">AC144-AE144</f>
        <v>-130</v>
      </c>
      <c r="AI144">
        <f t="shared" ref="AI144:AI157" si="112">IF(S144=1,O144-T144,0)</f>
        <v>0</v>
      </c>
      <c r="AJ144">
        <f t="shared" ref="AJ144:AJ157" si="113">IF(S144=2,O144-T144,0)</f>
        <v>0</v>
      </c>
      <c r="AK144">
        <f t="shared" ref="AK144:AK157" si="114">IF(S144=3,O144-T144,0)</f>
        <v>0</v>
      </c>
      <c r="AL144">
        <f t="shared" ref="AL144:AL157" si="115">IF(S144=4,O144-T144,0)</f>
        <v>0</v>
      </c>
      <c r="AM144"/>
      <c r="AN144">
        <f t="shared" ref="AN144:AN157" si="116">IF(S144=1,O144-T144,0)</f>
        <v>0</v>
      </c>
      <c r="AO144">
        <f t="shared" ref="AO144:AO157" si="117">IF(S144=2,O144-T144,0)</f>
        <v>0</v>
      </c>
      <c r="AP144">
        <f t="shared" ref="AP144:AP157" si="118">IF(S144=3,O144-T144,0)</f>
        <v>0</v>
      </c>
      <c r="AQ144">
        <f t="shared" ref="AQ144:AQ157" si="119">IF(S144=4,O144-T144,0)</f>
        <v>0</v>
      </c>
    </row>
    <row r="145" spans="2:43" x14ac:dyDescent="0.3">
      <c r="B145" s="103" t="s">
        <v>82</v>
      </c>
      <c r="C145" t="s">
        <v>42</v>
      </c>
      <c r="D145" s="84" t="s">
        <v>42</v>
      </c>
      <c r="E145" s="85">
        <f t="shared" si="104"/>
        <v>3</v>
      </c>
      <c r="F145" s="85">
        <f t="shared" ref="F145:F157" si="120">IF(E145&gt;0,0,1)</f>
        <v>0</v>
      </c>
      <c r="G145" s="169" t="s">
        <v>437</v>
      </c>
      <c r="H145" s="86">
        <v>3</v>
      </c>
      <c r="I145" s="88"/>
      <c r="J145" s="84" t="s">
        <v>143</v>
      </c>
      <c r="K145" s="60" t="s">
        <v>55</v>
      </c>
      <c r="L145" s="60">
        <v>3</v>
      </c>
      <c r="M145" s="4" t="s">
        <v>36</v>
      </c>
      <c r="N145" s="84"/>
      <c r="O145" s="163">
        <v>0</v>
      </c>
      <c r="P145" s="113">
        <f>ROUND((O145*0.4),0)</f>
        <v>0</v>
      </c>
      <c r="Q145" s="85">
        <f>IF(O145&gt;0,((O145+500)-P145)+T145,0)</f>
        <v>0</v>
      </c>
      <c r="R145" s="57"/>
      <c r="S145" s="154">
        <v>1</v>
      </c>
      <c r="T145" s="154">
        <v>0</v>
      </c>
      <c r="U145" s="87" t="str">
        <f t="shared" si="105"/>
        <v>PAYPAL</v>
      </c>
      <c r="V145" s="97">
        <v>2</v>
      </c>
      <c r="W145" s="146"/>
      <c r="X145" s="154">
        <f t="shared" si="106"/>
        <v>0</v>
      </c>
      <c r="Y145" s="154"/>
      <c r="Z145" s="113">
        <f t="shared" si="107"/>
        <v>0</v>
      </c>
      <c r="AA145" s="113">
        <f t="shared" si="108"/>
        <v>130</v>
      </c>
      <c r="AB145" s="113"/>
      <c r="AC145" s="155">
        <f t="shared" si="109"/>
        <v>-130</v>
      </c>
      <c r="AD145" s="113"/>
      <c r="AE145" s="113">
        <f t="shared" si="110"/>
        <v>0</v>
      </c>
      <c r="AF145" s="113">
        <f>IF(AG145&gt;0,AG78:AG145,0)</f>
        <v>0</v>
      </c>
      <c r="AG145" s="113">
        <f t="shared" si="111"/>
        <v>-130</v>
      </c>
      <c r="AI145">
        <f t="shared" si="112"/>
        <v>0</v>
      </c>
      <c r="AJ145">
        <f t="shared" si="113"/>
        <v>0</v>
      </c>
      <c r="AK145">
        <f t="shared" si="114"/>
        <v>0</v>
      </c>
      <c r="AL145">
        <f t="shared" si="115"/>
        <v>0</v>
      </c>
      <c r="AN145">
        <f t="shared" si="116"/>
        <v>0</v>
      </c>
      <c r="AO145">
        <f t="shared" si="117"/>
        <v>0</v>
      </c>
      <c r="AP145">
        <f t="shared" si="118"/>
        <v>0</v>
      </c>
      <c r="AQ145">
        <f t="shared" si="119"/>
        <v>0</v>
      </c>
    </row>
    <row r="146" spans="2:43" x14ac:dyDescent="0.3">
      <c r="B146" s="148" t="s">
        <v>554</v>
      </c>
      <c r="C146" t="s">
        <v>555</v>
      </c>
      <c r="D146" s="84" t="s">
        <v>370</v>
      </c>
      <c r="E146" s="84">
        <f t="shared" si="104"/>
        <v>0</v>
      </c>
      <c r="F146" s="84">
        <f>IF(E146&gt;0,0,1)</f>
        <v>1</v>
      </c>
      <c r="G146" s="84" t="s">
        <v>575</v>
      </c>
      <c r="H146" s="85">
        <v>6</v>
      </c>
      <c r="I146" s="85"/>
      <c r="J146" s="84" t="s">
        <v>108</v>
      </c>
      <c r="K146" s="84" t="s">
        <v>55</v>
      </c>
      <c r="L146" s="90">
        <v>0</v>
      </c>
      <c r="M146" s="96" t="s">
        <v>36</v>
      </c>
      <c r="N146" s="84"/>
      <c r="O146" s="107">
        <v>1141</v>
      </c>
      <c r="P146" s="58">
        <f>ROUND((O146*0.4),0)</f>
        <v>456</v>
      </c>
      <c r="Q146" s="84">
        <f>IF(O146&gt;0,((O146+500)-P146)+T146,0)+228</f>
        <v>1477</v>
      </c>
      <c r="R146" s="57" t="s">
        <v>556</v>
      </c>
      <c r="S146" s="89">
        <v>1</v>
      </c>
      <c r="T146" s="89">
        <f>IF(U146=$AD$2,47,IF(U146=$AD$1,ROUND(((O146+500)*0.039),0),IF(U146=$AD$3,0)))</f>
        <v>64</v>
      </c>
      <c r="U146" s="87" t="str">
        <f t="shared" si="105"/>
        <v>PAYPAL</v>
      </c>
      <c r="V146" s="97">
        <v>2</v>
      </c>
      <c r="W146" s="90" t="s">
        <v>25</v>
      </c>
      <c r="X146" s="89">
        <f t="shared" si="106"/>
        <v>1933</v>
      </c>
      <c r="Y146" s="89"/>
      <c r="Z146" s="58">
        <f t="shared" si="107"/>
        <v>0</v>
      </c>
      <c r="AA146" s="58">
        <f t="shared" si="108"/>
        <v>130</v>
      </c>
      <c r="AB146" s="58"/>
      <c r="AC146" s="98">
        <f t="shared" si="109"/>
        <v>1075</v>
      </c>
      <c r="AD146" s="58"/>
      <c r="AE146" s="58">
        <f t="shared" si="110"/>
        <v>30</v>
      </c>
      <c r="AF146" s="58">
        <f>IF(AG146&gt;0,AG49:AG146,0)</f>
        <v>1045</v>
      </c>
      <c r="AG146" s="58">
        <f>AC146-AE146</f>
        <v>1045</v>
      </c>
      <c r="AI146">
        <f>IF(S146=1,O146-T146,0)</f>
        <v>1077</v>
      </c>
      <c r="AJ146">
        <f>IF(S146=2,O146-T146,0)</f>
        <v>0</v>
      </c>
      <c r="AK146">
        <f>IF(S146=3,O146-T146,0)</f>
        <v>0</v>
      </c>
      <c r="AL146">
        <f>IF(S146=4,O146-T146,0)</f>
        <v>0</v>
      </c>
      <c r="AN146">
        <f>IF(S146=1,O146-T146,0)</f>
        <v>1077</v>
      </c>
      <c r="AO146">
        <f>IF(S146=2,O146-T146,0)</f>
        <v>0</v>
      </c>
      <c r="AP146">
        <f>IF(S146=3,O146-T146,0)</f>
        <v>0</v>
      </c>
      <c r="AQ146">
        <f>IF(S146=4,O146-T146,0)</f>
        <v>0</v>
      </c>
    </row>
    <row r="147" spans="2:43" x14ac:dyDescent="0.3">
      <c r="B147" s="148" t="s">
        <v>600</v>
      </c>
      <c r="C147" t="s">
        <v>601</v>
      </c>
      <c r="D147" s="84" t="s">
        <v>370</v>
      </c>
      <c r="E147" s="84">
        <f t="shared" si="104"/>
        <v>0</v>
      </c>
      <c r="F147" s="84">
        <f>IF(E147&gt;0,0,1)</f>
        <v>1</v>
      </c>
      <c r="G147" s="84" t="s">
        <v>421</v>
      </c>
      <c r="H147" s="85">
        <v>7</v>
      </c>
      <c r="I147" s="85"/>
      <c r="J147" s="84" t="s">
        <v>184</v>
      </c>
      <c r="K147" s="84" t="s">
        <v>55</v>
      </c>
      <c r="L147" s="90">
        <v>0</v>
      </c>
      <c r="M147" s="96" t="s">
        <v>36</v>
      </c>
      <c r="N147" s="84"/>
      <c r="O147" s="107">
        <v>1768</v>
      </c>
      <c r="P147" s="58">
        <f>ROUND((O147*0.4),0)</f>
        <v>707</v>
      </c>
      <c r="Q147" s="84">
        <f>IF(O147&gt;0,((O147+500)-P147)+T147,0)</f>
        <v>1649</v>
      </c>
      <c r="R147" s="57" t="s">
        <v>602</v>
      </c>
      <c r="S147" s="89">
        <v>1</v>
      </c>
      <c r="T147" s="89">
        <f>IF(U147=$AD$2,47,IF(U147=$AD$1,ROUND(((O147+500)*0.039),0),IF(U147=$AD$3,0)))</f>
        <v>88</v>
      </c>
      <c r="U147" s="87" t="str">
        <f t="shared" si="105"/>
        <v>PAYPAL</v>
      </c>
      <c r="V147" s="97">
        <v>2</v>
      </c>
      <c r="W147" s="90" t="s">
        <v>162</v>
      </c>
      <c r="X147" s="89">
        <f t="shared" si="106"/>
        <v>2356</v>
      </c>
      <c r="Y147" s="89"/>
      <c r="Z147" s="58">
        <f t="shared" si="107"/>
        <v>0</v>
      </c>
      <c r="AA147" s="58">
        <f t="shared" si="108"/>
        <v>130</v>
      </c>
      <c r="AB147" s="58"/>
      <c r="AC147" s="98">
        <f t="shared" si="109"/>
        <v>1726</v>
      </c>
      <c r="AD147" s="58"/>
      <c r="AE147" s="58">
        <f t="shared" si="110"/>
        <v>30</v>
      </c>
      <c r="AF147" s="58">
        <f>IF(AG147&gt;0,AG82:AG149,0)</f>
        <v>1696</v>
      </c>
      <c r="AG147" s="58">
        <f>AC147-AE147</f>
        <v>1696</v>
      </c>
      <c r="AI147">
        <f>IF(S147=1,O147-T147,0)</f>
        <v>1680</v>
      </c>
      <c r="AJ147">
        <f>IF(S147=2,O147-T147,0)</f>
        <v>0</v>
      </c>
      <c r="AK147">
        <f>IF(S147=3,O147-T147,0)</f>
        <v>0</v>
      </c>
      <c r="AL147">
        <f>IF(S147=4,O147-T147,0)</f>
        <v>0</v>
      </c>
      <c r="AN147">
        <f>IF(S147=1,O147-T147,0)</f>
        <v>1680</v>
      </c>
      <c r="AO147">
        <f>IF(S147=2,O147-T147,0)</f>
        <v>0</v>
      </c>
      <c r="AP147">
        <f>IF(S147=3,O147-T147,0)</f>
        <v>0</v>
      </c>
      <c r="AQ147">
        <f>IF(S147=4,O147-T147,0)</f>
        <v>0</v>
      </c>
    </row>
    <row r="148" spans="2:43" hidden="1" x14ac:dyDescent="0.3">
      <c r="B148" s="166" t="s">
        <v>420</v>
      </c>
      <c r="C148" t="s">
        <v>419</v>
      </c>
      <c r="D148" s="85" t="s">
        <v>30</v>
      </c>
      <c r="E148" s="84">
        <f t="shared" si="104"/>
        <v>0</v>
      </c>
      <c r="F148" s="84">
        <f>IF(E148&gt;0,0,1)</f>
        <v>1</v>
      </c>
      <c r="G148" s="191" t="s">
        <v>421</v>
      </c>
      <c r="H148" s="85">
        <v>7</v>
      </c>
      <c r="I148" s="85"/>
      <c r="J148" s="191" t="s">
        <v>599</v>
      </c>
      <c r="K148" s="84" t="s">
        <v>55</v>
      </c>
      <c r="L148" s="90">
        <v>0</v>
      </c>
      <c r="M148" s="4" t="s">
        <v>36</v>
      </c>
      <c r="N148" s="84"/>
      <c r="O148" s="107"/>
      <c r="P148" s="58"/>
      <c r="Q148" s="84">
        <f>IF(O148&gt;0,((O148+500)-P148)+T148,0)</f>
        <v>0</v>
      </c>
      <c r="R148" s="57"/>
      <c r="S148" s="89">
        <v>1</v>
      </c>
      <c r="T148" s="89">
        <f>IF(U148=$AD$2,47,IF(U148=$AD$1,ROUND(((O148+500)*0.039),0),IF(U148=$AD$3,0)))</f>
        <v>0</v>
      </c>
      <c r="U148" s="87" t="str">
        <f t="shared" si="105"/>
        <v>NONE</v>
      </c>
      <c r="V148" s="97"/>
      <c r="W148" s="90"/>
      <c r="X148" s="89">
        <f t="shared" si="106"/>
        <v>0</v>
      </c>
      <c r="Y148" s="89"/>
      <c r="Z148" s="58">
        <f t="shared" si="107"/>
        <v>0</v>
      </c>
      <c r="AA148" s="58">
        <f t="shared" si="108"/>
        <v>130</v>
      </c>
      <c r="AB148" s="58"/>
      <c r="AC148" s="98">
        <f t="shared" si="109"/>
        <v>-130</v>
      </c>
      <c r="AD148" s="58"/>
      <c r="AE148" s="58">
        <f t="shared" si="110"/>
        <v>30</v>
      </c>
      <c r="AF148" s="58">
        <f>IF(AG148&gt;0,AG83:AG150,0)</f>
        <v>0</v>
      </c>
      <c r="AG148" s="58">
        <f>AC148-AE148</f>
        <v>-160</v>
      </c>
      <c r="AI148">
        <f>IF(S148=1,O148-T148,0)</f>
        <v>0</v>
      </c>
      <c r="AJ148">
        <f>IF(S148=2,O148-T148,0)</f>
        <v>0</v>
      </c>
      <c r="AK148">
        <f>IF(S148=3,O148-T148,0)</f>
        <v>0</v>
      </c>
      <c r="AL148">
        <f>IF(S148=4,O148-T148,0)</f>
        <v>0</v>
      </c>
      <c r="AN148">
        <f>IF(S148=1,O148-T148,0)</f>
        <v>0</v>
      </c>
      <c r="AO148">
        <f>IF(S148=2,O148-T148,0)</f>
        <v>0</v>
      </c>
      <c r="AP148">
        <f>IF(S148=3,O148-T148,0)</f>
        <v>0</v>
      </c>
      <c r="AQ148">
        <f>IF(S148=4,O148-T148,0)</f>
        <v>0</v>
      </c>
    </row>
    <row r="149" spans="2:43" s="84" customFormat="1" x14ac:dyDescent="0.3">
      <c r="B149" s="147" t="s">
        <v>496</v>
      </c>
      <c r="C149" t="s">
        <v>497</v>
      </c>
      <c r="D149" s="85" t="s">
        <v>61</v>
      </c>
      <c r="E149" s="84">
        <f t="shared" si="104"/>
        <v>0</v>
      </c>
      <c r="F149" s="84">
        <f>IF(E149&gt;0,0,1)</f>
        <v>1</v>
      </c>
      <c r="G149" s="84" t="s">
        <v>498</v>
      </c>
      <c r="H149" s="85">
        <v>7</v>
      </c>
      <c r="I149" s="85"/>
      <c r="J149" s="85" t="s">
        <v>499</v>
      </c>
      <c r="K149" s="84" t="s">
        <v>55</v>
      </c>
      <c r="L149" s="90">
        <v>0</v>
      </c>
      <c r="M149" s="96" t="s">
        <v>36</v>
      </c>
      <c r="O149" s="107">
        <v>1540</v>
      </c>
      <c r="P149" s="58">
        <f>ROUND((O149*0.4),0)</f>
        <v>616</v>
      </c>
      <c r="Q149" s="84">
        <f>IF(O149&gt;0,((O149+500)-P149)+T149,0)</f>
        <v>1504</v>
      </c>
      <c r="R149" s="189" t="s">
        <v>595</v>
      </c>
      <c r="S149" s="89">
        <v>1</v>
      </c>
      <c r="T149" s="89">
        <f>IF(U149=$AD$2,47,IF(U149=$AD$1,ROUND(((O149+500)*0.039),0),IF(U149=$AD$3,0)))</f>
        <v>80</v>
      </c>
      <c r="U149" s="87" t="str">
        <f t="shared" si="105"/>
        <v>PAYPAL</v>
      </c>
      <c r="V149" s="97">
        <v>2</v>
      </c>
      <c r="W149" s="90" t="s">
        <v>652</v>
      </c>
      <c r="X149" s="89">
        <f t="shared" si="106"/>
        <v>2120</v>
      </c>
      <c r="Y149" s="89"/>
      <c r="Z149" s="58">
        <f t="shared" si="107"/>
        <v>0</v>
      </c>
      <c r="AA149" s="58">
        <f t="shared" si="108"/>
        <v>130</v>
      </c>
      <c r="AB149" s="58"/>
      <c r="AC149" s="98">
        <f t="shared" si="109"/>
        <v>1490</v>
      </c>
      <c r="AD149" s="58"/>
      <c r="AE149" s="58">
        <f t="shared" si="110"/>
        <v>30</v>
      </c>
      <c r="AF149" s="58">
        <f>IF(AG149&gt;0,AG77:AG149,0)</f>
        <v>1460</v>
      </c>
      <c r="AG149" s="58">
        <f>AC149-AE149</f>
        <v>1460</v>
      </c>
      <c r="AI149" s="84">
        <f>IF(S149=1,O149-T149,0)</f>
        <v>1460</v>
      </c>
      <c r="AJ149" s="84">
        <f>IF(S149=2,O149-T149,0)</f>
        <v>0</v>
      </c>
      <c r="AK149" s="84">
        <f>IF(S149=3,O149-T149,0)</f>
        <v>0</v>
      </c>
      <c r="AL149" s="84">
        <f>IF(S149=4,O149-T149,0)</f>
        <v>0</v>
      </c>
      <c r="AN149" s="84">
        <f>IF(S149=1,O149-T149,0)</f>
        <v>1460</v>
      </c>
      <c r="AO149" s="84">
        <f>IF(S149=2,O149-T149,0)</f>
        <v>0</v>
      </c>
      <c r="AP149" s="84">
        <f>IF(S149=3,O149-T149,0)</f>
        <v>0</v>
      </c>
      <c r="AQ149" s="84">
        <f>IF(S149=4,O149-T149,0)</f>
        <v>0</v>
      </c>
    </row>
    <row r="150" spans="2:43" x14ac:dyDescent="0.3">
      <c r="B150" s="103" t="s">
        <v>536</v>
      </c>
      <c r="C150" s="86" t="s">
        <v>42</v>
      </c>
      <c r="D150" s="84" t="s">
        <v>42</v>
      </c>
      <c r="E150" s="85">
        <f t="shared" ref="E150:E157" si="121">IF(D150=$B$12,H150,0)</f>
        <v>2</v>
      </c>
      <c r="F150" s="85">
        <f t="shared" si="120"/>
        <v>0</v>
      </c>
      <c r="G150" s="108" t="s">
        <v>535</v>
      </c>
      <c r="H150" s="85">
        <v>2</v>
      </c>
      <c r="I150" s="85"/>
      <c r="J150" s="84" t="s">
        <v>63</v>
      </c>
      <c r="K150" s="84" t="s">
        <v>55</v>
      </c>
      <c r="L150" s="146">
        <v>3</v>
      </c>
      <c r="M150" s="4" t="s">
        <v>36</v>
      </c>
      <c r="N150" s="85"/>
      <c r="O150" s="163">
        <v>0</v>
      </c>
      <c r="P150" s="113">
        <f t="shared" ref="P150:P157" si="122">ROUND((O150*0.4),0)</f>
        <v>0</v>
      </c>
      <c r="Q150" s="85">
        <f t="shared" ref="Q150:Q157" si="123">IF(O150&gt;0,((O150+500)-P150)+T150,0)</f>
        <v>0</v>
      </c>
      <c r="R150" s="153"/>
      <c r="S150" s="154">
        <v>1</v>
      </c>
      <c r="T150" s="154">
        <f t="shared" ref="T150:T157" si="124">IF(U150=$AD$2,47,IF(U150=$AD$1,ROUND(((O150+500)*0.039),0),IF(U150=$AD$3,0)))</f>
        <v>0</v>
      </c>
      <c r="U150" s="87" t="str">
        <f t="shared" ref="U150:U157" si="125">IF(V150=1,$AD$2,IF(V150=2,$AD$1,IF(AND(V150&lt;&gt;1,V150&lt;&gt;20)=TRUE,$AD$3)))</f>
        <v>NONE</v>
      </c>
      <c r="V150" s="97"/>
      <c r="W150" s="146"/>
      <c r="X150" s="154">
        <f t="shared" ref="X150:X157" si="126">Q150+P150</f>
        <v>0</v>
      </c>
      <c r="Y150" s="154"/>
      <c r="Z150" s="113">
        <f t="shared" ref="Z150:Z157" si="127">IF(W150=$Z$1,Q150-500,0)</f>
        <v>0</v>
      </c>
      <c r="AA150" s="113">
        <f t="shared" ref="AA150:AA157" si="128">IF(H150&gt;0,130,0)</f>
        <v>130</v>
      </c>
      <c r="AB150" s="113"/>
      <c r="AC150" s="155">
        <f t="shared" ref="AC150:AC157" si="129">(O150+T150)-AA150</f>
        <v>-130</v>
      </c>
      <c r="AD150" s="113"/>
      <c r="AE150" s="113">
        <f t="shared" ref="AE150:AE157" si="130">IF(H150&gt;0,30*F150,0)</f>
        <v>0</v>
      </c>
      <c r="AF150" s="113">
        <f>IF(AG150&gt;0,AG79:AG150,0)</f>
        <v>0</v>
      </c>
      <c r="AG150" s="113">
        <f t="shared" si="111"/>
        <v>-130</v>
      </c>
      <c r="AI150">
        <f t="shared" si="112"/>
        <v>0</v>
      </c>
      <c r="AJ150">
        <f t="shared" si="113"/>
        <v>0</v>
      </c>
      <c r="AK150">
        <f t="shared" si="114"/>
        <v>0</v>
      </c>
      <c r="AL150">
        <f t="shared" si="115"/>
        <v>0</v>
      </c>
      <c r="AN150">
        <f t="shared" si="116"/>
        <v>0</v>
      </c>
      <c r="AO150">
        <f t="shared" si="117"/>
        <v>0</v>
      </c>
      <c r="AP150">
        <f t="shared" si="118"/>
        <v>0</v>
      </c>
      <c r="AQ150">
        <f t="shared" si="119"/>
        <v>0</v>
      </c>
    </row>
    <row r="151" spans="2:43" x14ac:dyDescent="0.3">
      <c r="B151" s="148" t="s">
        <v>539</v>
      </c>
      <c r="C151" t="s">
        <v>540</v>
      </c>
      <c r="D151" s="84" t="s">
        <v>30</v>
      </c>
      <c r="E151" s="85">
        <f>IF(D151=$B$12,H151,0)</f>
        <v>0</v>
      </c>
      <c r="F151" s="85">
        <f>IF(E151&gt;0,0,1)</f>
        <v>1</v>
      </c>
      <c r="G151" s="84" t="s">
        <v>541</v>
      </c>
      <c r="H151" s="85">
        <v>13</v>
      </c>
      <c r="I151" s="85"/>
      <c r="J151" s="84" t="s">
        <v>103</v>
      </c>
      <c r="K151" s="84" t="s">
        <v>55</v>
      </c>
      <c r="L151" s="146">
        <v>3</v>
      </c>
      <c r="M151" s="96" t="s">
        <v>36</v>
      </c>
      <c r="N151" s="85"/>
      <c r="O151" s="163">
        <v>2903</v>
      </c>
      <c r="P151" s="113">
        <f>ROUND((O151*0.4),0)</f>
        <v>1161</v>
      </c>
      <c r="Q151" s="85">
        <f>IF(O151&gt;0,((O151+500)-P151)+T151,0)</f>
        <v>2375</v>
      </c>
      <c r="R151" s="57" t="s">
        <v>543</v>
      </c>
      <c r="S151" s="154">
        <v>1</v>
      </c>
      <c r="T151" s="154">
        <f>IF(U151=$AD$2,47,IF(U151=$AD$1,ROUND(((O151+500)*0.039),0),IF(U151=$AD$3,0)))</f>
        <v>133</v>
      </c>
      <c r="U151" s="87" t="str">
        <f>IF(V151=1,$AD$2,IF(V151=2,$AD$1,IF(AND(V151&lt;&gt;1,V151&lt;&gt;20)=TRUE,$AD$3)))</f>
        <v>PAYPAL</v>
      </c>
      <c r="V151" s="97">
        <v>2</v>
      </c>
      <c r="W151" s="90" t="s">
        <v>656</v>
      </c>
      <c r="X151" s="154">
        <f>Q151+P151</f>
        <v>3536</v>
      </c>
      <c r="Y151" s="154"/>
      <c r="Z151" s="113">
        <f>IF(W151=$Z$1,Q151-500,0)</f>
        <v>0</v>
      </c>
      <c r="AA151" s="113">
        <f>IF(H151&gt;0,130,0)</f>
        <v>130</v>
      </c>
      <c r="AB151" s="113"/>
      <c r="AC151" s="155">
        <f>(O151+T151)-AA151</f>
        <v>2906</v>
      </c>
      <c r="AD151" s="113"/>
      <c r="AE151" s="113">
        <f>IF(H151&gt;0,30*F151,0)</f>
        <v>30</v>
      </c>
      <c r="AF151" s="113">
        <f>IF(AG151&gt;0,AG80:AG151,0)</f>
        <v>2876</v>
      </c>
      <c r="AG151" s="113">
        <f>AC151-AE151</f>
        <v>2876</v>
      </c>
      <c r="AH151" s="84"/>
      <c r="AI151" s="84">
        <f>IF(S151=1,O151-T151,0)</f>
        <v>2770</v>
      </c>
      <c r="AJ151">
        <f>IF(S151=2,O151-T151,0)</f>
        <v>0</v>
      </c>
      <c r="AK151">
        <f>IF(S151=3,O151-T151,0)</f>
        <v>0</v>
      </c>
      <c r="AL151">
        <f>IF(S151=4,O151-T151,0)</f>
        <v>0</v>
      </c>
      <c r="AN151">
        <f>IF(S151=1,O151-T151,0)</f>
        <v>2770</v>
      </c>
      <c r="AO151">
        <f>IF(S151=2,O151-T151,0)</f>
        <v>0</v>
      </c>
      <c r="AP151">
        <f>IF(S151=3,O151-T151,0)</f>
        <v>0</v>
      </c>
      <c r="AQ151">
        <f>IF(S151=4,O151-T151,0)</f>
        <v>0</v>
      </c>
    </row>
    <row r="152" spans="2:43" ht="23.4" x14ac:dyDescent="0.45">
      <c r="B152" s="84" t="s">
        <v>542</v>
      </c>
      <c r="C152" t="s">
        <v>60</v>
      </c>
      <c r="D152" s="84" t="s">
        <v>61</v>
      </c>
      <c r="E152" s="85">
        <f t="shared" si="121"/>
        <v>0</v>
      </c>
      <c r="F152" s="85">
        <f t="shared" si="120"/>
        <v>1</v>
      </c>
      <c r="G152" s="84" t="s">
        <v>411</v>
      </c>
      <c r="H152" s="85">
        <v>14</v>
      </c>
      <c r="I152" s="85"/>
      <c r="J152" s="84" t="s">
        <v>538</v>
      </c>
      <c r="K152" s="84" t="s">
        <v>55</v>
      </c>
      <c r="L152" s="146">
        <v>3</v>
      </c>
      <c r="M152" s="96" t="s">
        <v>36</v>
      </c>
      <c r="N152" s="85"/>
      <c r="O152" s="163">
        <v>2993</v>
      </c>
      <c r="P152" s="165">
        <f t="shared" si="122"/>
        <v>1197</v>
      </c>
      <c r="Q152" s="148">
        <f t="shared" si="123"/>
        <v>2343</v>
      </c>
      <c r="R152" s="193" t="s">
        <v>582</v>
      </c>
      <c r="S152" s="154">
        <v>2</v>
      </c>
      <c r="T152" s="154">
        <f t="shared" si="124"/>
        <v>47</v>
      </c>
      <c r="U152" s="87" t="str">
        <f t="shared" si="125"/>
        <v>BANK</v>
      </c>
      <c r="V152" s="97">
        <v>1</v>
      </c>
      <c r="W152" s="90" t="s">
        <v>162</v>
      </c>
      <c r="X152" s="154">
        <f>Q152+P152-500</f>
        <v>3040</v>
      </c>
      <c r="Y152" s="154"/>
      <c r="Z152" s="113">
        <f t="shared" si="127"/>
        <v>0</v>
      </c>
      <c r="AA152" s="113">
        <f t="shared" si="128"/>
        <v>130</v>
      </c>
      <c r="AB152" s="113"/>
      <c r="AC152" s="155">
        <f t="shared" si="129"/>
        <v>2910</v>
      </c>
      <c r="AD152" s="113"/>
      <c r="AE152" s="113">
        <f t="shared" si="130"/>
        <v>30</v>
      </c>
      <c r="AF152" s="113">
        <f>IF(AG152&gt;0,AG80:AG152,0)</f>
        <v>2880</v>
      </c>
      <c r="AG152" s="113">
        <f t="shared" si="111"/>
        <v>2880</v>
      </c>
      <c r="AI152">
        <f t="shared" si="112"/>
        <v>0</v>
      </c>
      <c r="AJ152">
        <f t="shared" si="113"/>
        <v>2946</v>
      </c>
      <c r="AK152">
        <f t="shared" si="114"/>
        <v>0</v>
      </c>
      <c r="AL152">
        <f t="shared" si="115"/>
        <v>0</v>
      </c>
      <c r="AN152">
        <f t="shared" si="116"/>
        <v>0</v>
      </c>
      <c r="AO152">
        <f t="shared" si="117"/>
        <v>2946</v>
      </c>
      <c r="AP152">
        <f t="shared" si="118"/>
        <v>0</v>
      </c>
      <c r="AQ152">
        <f t="shared" si="119"/>
        <v>0</v>
      </c>
    </row>
    <row r="153" spans="2:43" x14ac:dyDescent="0.3">
      <c r="B153" s="103" t="s">
        <v>537</v>
      </c>
      <c r="C153" s="86" t="s">
        <v>438</v>
      </c>
      <c r="D153" s="84" t="s">
        <v>42</v>
      </c>
      <c r="E153" s="85">
        <f t="shared" si="121"/>
        <v>3</v>
      </c>
      <c r="F153" s="85">
        <f t="shared" si="120"/>
        <v>0</v>
      </c>
      <c r="G153" s="108" t="s">
        <v>638</v>
      </c>
      <c r="H153" s="85">
        <v>3</v>
      </c>
      <c r="I153" s="85"/>
      <c r="J153" s="84" t="s">
        <v>63</v>
      </c>
      <c r="K153" s="84" t="s">
        <v>55</v>
      </c>
      <c r="L153" s="146">
        <v>3</v>
      </c>
      <c r="M153" s="96" t="s">
        <v>36</v>
      </c>
      <c r="N153" s="85"/>
      <c r="O153" s="163">
        <v>0</v>
      </c>
      <c r="P153" s="113">
        <f t="shared" si="122"/>
        <v>0</v>
      </c>
      <c r="Q153" s="85">
        <f t="shared" si="123"/>
        <v>0</v>
      </c>
      <c r="R153" s="153"/>
      <c r="S153" s="154">
        <v>2</v>
      </c>
      <c r="T153" s="154">
        <f t="shared" si="124"/>
        <v>0</v>
      </c>
      <c r="U153" s="87" t="str">
        <f t="shared" si="125"/>
        <v>NONE</v>
      </c>
      <c r="V153" s="97"/>
      <c r="W153" s="146"/>
      <c r="X153" s="154">
        <f t="shared" si="126"/>
        <v>0</v>
      </c>
      <c r="Y153" s="154"/>
      <c r="Z153" s="113">
        <f t="shared" si="127"/>
        <v>0</v>
      </c>
      <c r="AA153" s="113">
        <f t="shared" si="128"/>
        <v>130</v>
      </c>
      <c r="AB153" s="113"/>
      <c r="AC153" s="155">
        <f t="shared" si="129"/>
        <v>-130</v>
      </c>
      <c r="AD153" s="113"/>
      <c r="AE153" s="113">
        <f t="shared" si="130"/>
        <v>0</v>
      </c>
      <c r="AF153" s="113">
        <f>IF(AG153&gt;0,AG81:AG153,0)</f>
        <v>0</v>
      </c>
      <c r="AG153" s="113">
        <f t="shared" si="111"/>
        <v>-130</v>
      </c>
      <c r="AI153">
        <f t="shared" si="112"/>
        <v>0</v>
      </c>
      <c r="AJ153">
        <f t="shared" si="113"/>
        <v>0</v>
      </c>
      <c r="AK153">
        <f t="shared" si="114"/>
        <v>0</v>
      </c>
      <c r="AL153">
        <f t="shared" si="115"/>
        <v>0</v>
      </c>
      <c r="AN153">
        <f t="shared" si="116"/>
        <v>0</v>
      </c>
      <c r="AO153">
        <f t="shared" si="117"/>
        <v>0</v>
      </c>
      <c r="AP153">
        <f t="shared" si="118"/>
        <v>0</v>
      </c>
      <c r="AQ153">
        <f t="shared" si="119"/>
        <v>0</v>
      </c>
    </row>
    <row r="154" spans="2:43" x14ac:dyDescent="0.3">
      <c r="B154" s="84" t="s">
        <v>636</v>
      </c>
      <c r="C154" t="s">
        <v>635</v>
      </c>
      <c r="D154" s="84" t="s">
        <v>370</v>
      </c>
      <c r="E154" s="84">
        <f t="shared" si="121"/>
        <v>0</v>
      </c>
      <c r="F154" s="84">
        <f t="shared" si="120"/>
        <v>1</v>
      </c>
      <c r="G154" s="84" t="s">
        <v>634</v>
      </c>
      <c r="H154" s="85">
        <v>6</v>
      </c>
      <c r="I154" s="85"/>
      <c r="J154" s="84" t="s">
        <v>637</v>
      </c>
      <c r="K154" s="84" t="s">
        <v>55</v>
      </c>
      <c r="L154" s="90">
        <v>0</v>
      </c>
      <c r="M154" s="96" t="s">
        <v>36</v>
      </c>
      <c r="N154" s="84"/>
      <c r="O154" s="107">
        <v>1747</v>
      </c>
      <c r="P154" s="156">
        <f t="shared" si="122"/>
        <v>699</v>
      </c>
      <c r="Q154" s="84">
        <f t="shared" si="123"/>
        <v>1636</v>
      </c>
      <c r="R154" s="57" t="s">
        <v>156</v>
      </c>
      <c r="S154" s="89">
        <v>2</v>
      </c>
      <c r="T154" s="89">
        <f t="shared" si="124"/>
        <v>88</v>
      </c>
      <c r="U154" s="87" t="str">
        <f t="shared" si="125"/>
        <v>PAYPAL</v>
      </c>
      <c r="V154" s="97">
        <v>2</v>
      </c>
      <c r="W154" s="90" t="s">
        <v>664</v>
      </c>
      <c r="X154" s="89">
        <f t="shared" si="126"/>
        <v>2335</v>
      </c>
      <c r="Y154" s="89"/>
      <c r="Z154" s="58">
        <f t="shared" si="127"/>
        <v>0</v>
      </c>
      <c r="AA154" s="58">
        <f t="shared" si="128"/>
        <v>130</v>
      </c>
      <c r="AB154" s="58"/>
      <c r="AC154" s="98">
        <f t="shared" si="129"/>
        <v>1705</v>
      </c>
      <c r="AD154" s="58"/>
      <c r="AE154" s="58">
        <f t="shared" si="130"/>
        <v>30</v>
      </c>
      <c r="AF154" s="58">
        <f>IF(AG154&gt;0,AG63:AG154,0)</f>
        <v>1675</v>
      </c>
      <c r="AG154" s="58">
        <f t="shared" si="111"/>
        <v>1675</v>
      </c>
      <c r="AI154">
        <f t="shared" si="112"/>
        <v>0</v>
      </c>
      <c r="AJ154">
        <f t="shared" si="113"/>
        <v>1659</v>
      </c>
      <c r="AK154">
        <f t="shared" si="114"/>
        <v>0</v>
      </c>
      <c r="AL154">
        <f t="shared" si="115"/>
        <v>0</v>
      </c>
      <c r="AN154">
        <f t="shared" si="116"/>
        <v>0</v>
      </c>
      <c r="AO154">
        <f t="shared" si="117"/>
        <v>1659</v>
      </c>
      <c r="AP154">
        <f t="shared" si="118"/>
        <v>0</v>
      </c>
      <c r="AQ154">
        <f t="shared" si="119"/>
        <v>0</v>
      </c>
    </row>
    <row r="155" spans="2:43" x14ac:dyDescent="0.3">
      <c r="B155" s="148" t="s">
        <v>548</v>
      </c>
      <c r="C155" t="s">
        <v>549</v>
      </c>
      <c r="D155" s="85" t="s">
        <v>30</v>
      </c>
      <c r="E155" s="84">
        <f>IF(D155=$B$12,H155,0)</f>
        <v>0</v>
      </c>
      <c r="F155" s="84">
        <f>IF(E155&gt;0,0,1)</f>
        <v>1</v>
      </c>
      <c r="G155" s="85" t="s">
        <v>550</v>
      </c>
      <c r="H155" s="85">
        <v>18</v>
      </c>
      <c r="I155" s="85"/>
      <c r="J155" s="85" t="s">
        <v>80</v>
      </c>
      <c r="K155" s="84" t="s">
        <v>55</v>
      </c>
      <c r="L155" s="90">
        <v>0</v>
      </c>
      <c r="M155" s="96" t="s">
        <v>36</v>
      </c>
      <c r="N155" s="84"/>
      <c r="O155" s="107">
        <v>3659</v>
      </c>
      <c r="P155" s="58">
        <f>ROUND((O155*0.4),0)</f>
        <v>1464</v>
      </c>
      <c r="Q155" s="84">
        <f>IF(O155&gt;0,((O155+500)-P155)+T155,0)</f>
        <v>2857</v>
      </c>
      <c r="R155" s="57" t="s">
        <v>551</v>
      </c>
      <c r="S155" s="89">
        <v>2</v>
      </c>
      <c r="T155" s="89">
        <f>IF(U155=$AD$2,47,IF(U155=$AD$1,ROUND(((O155+500)*0.039),0),IF(U155=$AD$3,0)))</f>
        <v>162</v>
      </c>
      <c r="U155" s="87" t="str">
        <f>IF(V155=1,$AD$2,IF(V155=2,$AD$1,IF(AND(V155&lt;&gt;1,V155&lt;&gt;20)=TRUE,$AD$3)))</f>
        <v>PAYPAL</v>
      </c>
      <c r="V155" s="97">
        <v>2</v>
      </c>
      <c r="W155" s="90" t="s">
        <v>25</v>
      </c>
      <c r="X155" s="89">
        <f>Q155+P155</f>
        <v>4321</v>
      </c>
      <c r="Y155" s="89"/>
      <c r="Z155" s="58">
        <f>IF(W155=$Z$1,Q155-500,0)</f>
        <v>0</v>
      </c>
      <c r="AA155" s="58">
        <f>IF(H155&gt;0,130,0)</f>
        <v>130</v>
      </c>
      <c r="AB155" s="58"/>
      <c r="AC155" s="98">
        <f>(O155+T155)-AA155</f>
        <v>3691</v>
      </c>
      <c r="AD155" s="58"/>
      <c r="AE155" s="58">
        <f>IF(H155&gt;0,30*F155,0)</f>
        <v>30</v>
      </c>
      <c r="AF155" s="58">
        <f>IF(AG155&gt;0,AG56:AG155,0)</f>
        <v>3661</v>
      </c>
      <c r="AG155" s="58">
        <f>AC155-AE155</f>
        <v>3661</v>
      </c>
      <c r="AI155">
        <f>IF(S155=1,O155-T155,0)</f>
        <v>0</v>
      </c>
      <c r="AJ155">
        <f>IF(S155=2,O155-T155,0)</f>
        <v>3497</v>
      </c>
      <c r="AK155">
        <f>IF(S155=3,O155-T155,0)</f>
        <v>0</v>
      </c>
      <c r="AL155">
        <f>IF(S155=4,O155-T155,0)</f>
        <v>0</v>
      </c>
      <c r="AN155">
        <f>IF(S155=1,O155-T155,0)</f>
        <v>0</v>
      </c>
      <c r="AO155">
        <f>IF(S155=2,O155-T155,0)</f>
        <v>3497</v>
      </c>
      <c r="AP155">
        <f>IF(S155=3,O155-T155,0)</f>
        <v>0</v>
      </c>
      <c r="AQ155">
        <f>IF(S155=4,O155-T155,0)</f>
        <v>0</v>
      </c>
    </row>
    <row r="156" spans="2:43" x14ac:dyDescent="0.3">
      <c r="B156" s="86" t="s">
        <v>544</v>
      </c>
      <c r="C156" t="s">
        <v>545</v>
      </c>
      <c r="D156" s="84" t="s">
        <v>30</v>
      </c>
      <c r="E156" s="84">
        <f>IF(D156=$B$12,H156,0)</f>
        <v>0</v>
      </c>
      <c r="F156" s="84">
        <f>IF(E156&gt;0,0,1)</f>
        <v>1</v>
      </c>
      <c r="G156" s="84" t="s">
        <v>546</v>
      </c>
      <c r="H156" s="85">
        <v>7</v>
      </c>
      <c r="I156" s="85"/>
      <c r="J156" s="84" t="s">
        <v>570</v>
      </c>
      <c r="K156" s="84" t="s">
        <v>55</v>
      </c>
      <c r="L156" s="90">
        <v>0</v>
      </c>
      <c r="M156" s="96" t="s">
        <v>36</v>
      </c>
      <c r="N156" s="84"/>
      <c r="O156" s="107">
        <v>1540</v>
      </c>
      <c r="P156" s="58">
        <f>ROUND((O156*0.4),0)</f>
        <v>616</v>
      </c>
      <c r="Q156" s="84">
        <f>IF(O156&gt;0,((O156+500)-P156)+T156,0)</f>
        <v>1504</v>
      </c>
      <c r="R156" s="57" t="s">
        <v>547</v>
      </c>
      <c r="S156" s="89">
        <v>2</v>
      </c>
      <c r="T156" s="89">
        <f>IF(U156=$AD$2,47,IF(U156=$AD$1,ROUND(((O156+500)*0.039),0),IF(U156=$AD$3,0)))</f>
        <v>80</v>
      </c>
      <c r="U156" s="87" t="str">
        <f>IF(V156=1,$AD$2,IF(V156=2,$AD$1,IF(AND(V156&lt;&gt;1,V156&lt;&gt;20)=TRUE,$AD$3)))</f>
        <v>PAYPAL</v>
      </c>
      <c r="V156" s="97">
        <v>2</v>
      </c>
      <c r="W156" s="90" t="s">
        <v>25</v>
      </c>
      <c r="X156" s="89">
        <f>Q156+P156</f>
        <v>2120</v>
      </c>
      <c r="Y156" s="89"/>
      <c r="Z156" s="58">
        <f>IF(W156=$Z$1,Q156-500,0)</f>
        <v>0</v>
      </c>
      <c r="AA156" s="58">
        <f>IF(H156&gt;0,130,0)</f>
        <v>130</v>
      </c>
      <c r="AB156" s="58"/>
      <c r="AC156" s="98">
        <f>(O156+T156)-AA156</f>
        <v>1490</v>
      </c>
      <c r="AD156" s="58"/>
      <c r="AE156" s="58">
        <f>IF(H156&gt;0,30*F156,0)</f>
        <v>30</v>
      </c>
      <c r="AF156" s="58">
        <f>IF(AG156&gt;0,AG58:AG157,0)</f>
        <v>1460</v>
      </c>
      <c r="AG156" s="58">
        <f>AC156-AE156</f>
        <v>1460</v>
      </c>
      <c r="AI156">
        <f>IF(S156=1,O156-T156,0)</f>
        <v>0</v>
      </c>
      <c r="AJ156">
        <f>IF(S156=2,O156-T156,0)</f>
        <v>1460</v>
      </c>
      <c r="AK156">
        <f>IF(S156=3,O156-T156,0)</f>
        <v>0</v>
      </c>
      <c r="AL156">
        <f>IF(S156=4,O156-T156,0)</f>
        <v>0</v>
      </c>
      <c r="AN156">
        <f>IF(S156=1,O156-T156,0)</f>
        <v>0</v>
      </c>
      <c r="AO156">
        <f>IF(S156=2,O156-T156,0)</f>
        <v>1460</v>
      </c>
      <c r="AP156">
        <f>IF(S156=3,O156-T156,0)</f>
        <v>0</v>
      </c>
      <c r="AQ156">
        <f>IF(S156=4,O156-T156,0)</f>
        <v>0</v>
      </c>
    </row>
    <row r="157" spans="2:43" ht="13.2" customHeight="1" x14ac:dyDescent="0.3">
      <c r="B157" s="103" t="s">
        <v>82</v>
      </c>
      <c r="C157" s="86" t="s">
        <v>438</v>
      </c>
      <c r="D157" s="84" t="s">
        <v>42</v>
      </c>
      <c r="E157" s="85">
        <f t="shared" si="121"/>
        <v>3</v>
      </c>
      <c r="F157" s="85">
        <f t="shared" si="120"/>
        <v>0</v>
      </c>
      <c r="G157" s="108" t="s">
        <v>597</v>
      </c>
      <c r="H157" s="85">
        <v>3</v>
      </c>
      <c r="I157" s="85"/>
      <c r="J157" s="84" t="s">
        <v>63</v>
      </c>
      <c r="K157" s="84" t="s">
        <v>55</v>
      </c>
      <c r="L157" s="146">
        <v>3</v>
      </c>
      <c r="M157" s="96" t="s">
        <v>36</v>
      </c>
      <c r="N157" s="85"/>
      <c r="O157" s="163">
        <v>0</v>
      </c>
      <c r="P157" s="113">
        <f t="shared" si="122"/>
        <v>0</v>
      </c>
      <c r="Q157" s="85">
        <f t="shared" si="123"/>
        <v>0</v>
      </c>
      <c r="R157" s="153"/>
      <c r="S157" s="154">
        <v>2</v>
      </c>
      <c r="T157" s="154">
        <f t="shared" si="124"/>
        <v>0</v>
      </c>
      <c r="U157" s="87" t="str">
        <f t="shared" si="125"/>
        <v>NONE</v>
      </c>
      <c r="V157" s="97"/>
      <c r="W157" s="146"/>
      <c r="X157" s="154">
        <f t="shared" si="126"/>
        <v>0</v>
      </c>
      <c r="Y157" s="154"/>
      <c r="Z157" s="113">
        <f t="shared" si="127"/>
        <v>0</v>
      </c>
      <c r="AA157" s="113">
        <f t="shared" si="128"/>
        <v>130</v>
      </c>
      <c r="AB157" s="113"/>
      <c r="AC157" s="155">
        <f t="shared" si="129"/>
        <v>-130</v>
      </c>
      <c r="AD157" s="113"/>
      <c r="AE157" s="113">
        <f t="shared" si="130"/>
        <v>0</v>
      </c>
      <c r="AF157" s="113">
        <f>IF(AG157&gt;0,AG82:AG157,0)</f>
        <v>0</v>
      </c>
      <c r="AG157" s="113">
        <f t="shared" si="111"/>
        <v>-130</v>
      </c>
      <c r="AI157">
        <f t="shared" si="112"/>
        <v>0</v>
      </c>
      <c r="AJ157">
        <f t="shared" si="113"/>
        <v>0</v>
      </c>
      <c r="AK157">
        <f t="shared" si="114"/>
        <v>0</v>
      </c>
      <c r="AL157">
        <f t="shared" si="115"/>
        <v>0</v>
      </c>
      <c r="AN157">
        <f t="shared" si="116"/>
        <v>0</v>
      </c>
      <c r="AO157">
        <f t="shared" si="117"/>
        <v>0</v>
      </c>
      <c r="AP157">
        <f t="shared" si="118"/>
        <v>0</v>
      </c>
      <c r="AQ157">
        <f t="shared" si="119"/>
        <v>0</v>
      </c>
    </row>
    <row r="158" spans="2:43" x14ac:dyDescent="0.3">
      <c r="B158" s="147" t="s">
        <v>568</v>
      </c>
      <c r="C158" t="s">
        <v>426</v>
      </c>
      <c r="D158" s="85" t="s">
        <v>370</v>
      </c>
      <c r="E158" s="31">
        <f t="shared" ref="E158:E164" si="131">IF(D158=$B$12,H158,0)</f>
        <v>0</v>
      </c>
      <c r="F158" s="31">
        <f t="shared" ref="F158:F183" si="132">IF(E158&gt;0,0,1)</f>
        <v>1</v>
      </c>
      <c r="G158" s="85" t="s">
        <v>567</v>
      </c>
      <c r="H158" s="85">
        <v>9</v>
      </c>
      <c r="I158" s="85"/>
      <c r="J158" s="85" t="s">
        <v>565</v>
      </c>
      <c r="K158" s="84" t="s">
        <v>55</v>
      </c>
      <c r="L158" s="90">
        <v>0</v>
      </c>
      <c r="M158" s="96" t="s">
        <v>36</v>
      </c>
      <c r="N158" s="84"/>
      <c r="O158" s="107">
        <v>1653</v>
      </c>
      <c r="P158" s="58">
        <f t="shared" ref="P158:P164" si="133">ROUND((O158*0.4),0)</f>
        <v>661</v>
      </c>
      <c r="Q158" s="84">
        <f t="shared" ref="Q158:Q183" si="134">IF(O158&gt;0,((O158+500)-P158)+T158,0)</f>
        <v>1576</v>
      </c>
      <c r="R158" s="57" t="s">
        <v>566</v>
      </c>
      <c r="S158" s="89">
        <v>2</v>
      </c>
      <c r="T158" s="89">
        <f t="shared" ref="T158:T171" si="135">IF(U158=$AD$2,47,IF(U158=$AD$1,ROUND(((O158+500)*0.039),0),IF(U158=$AD$3,0)))</f>
        <v>84</v>
      </c>
      <c r="U158" s="87" t="str">
        <f t="shared" ref="U158:U164" si="136">IF(V158=1,$AD$2,IF(V158=2,$AD$1,IF(AND(V158&lt;&gt;1,V158&lt;&gt;20)=TRUE,$AD$3)))</f>
        <v>PAYPAL</v>
      </c>
      <c r="V158" s="97">
        <v>2</v>
      </c>
      <c r="W158" s="90" t="s">
        <v>675</v>
      </c>
      <c r="X158" s="89">
        <f t="shared" ref="X158:X183" si="137">Q158+P158</f>
        <v>2237</v>
      </c>
      <c r="Y158" s="89"/>
      <c r="Z158" s="58">
        <f t="shared" ref="Z158:Z183" si="138">IF(W158=$Z$1,Q158-500,0)</f>
        <v>0</v>
      </c>
      <c r="AA158" s="58">
        <f t="shared" ref="AA158:AA183" si="139">IF(H158&gt;0,130,0)</f>
        <v>130</v>
      </c>
      <c r="AB158" s="58"/>
      <c r="AC158" s="98">
        <f t="shared" ref="AC158:AC183" si="140">(O158+T158)-AA158</f>
        <v>1607</v>
      </c>
      <c r="AD158" s="58"/>
      <c r="AE158" s="58">
        <f t="shared" ref="AE158:AE183" si="141">IF(H158&gt;0,30*F158,0)</f>
        <v>30</v>
      </c>
      <c r="AF158" s="58">
        <f>IF(AG158&gt;0,AG57:AG158,0)</f>
        <v>1577</v>
      </c>
      <c r="AG158" s="58">
        <f t="shared" ref="AG158:AG183" si="142">AC158-AE158</f>
        <v>1577</v>
      </c>
      <c r="AI158">
        <f t="shared" ref="AI158:AI183" si="143">IF(S158=1,O158-T158,0)</f>
        <v>0</v>
      </c>
      <c r="AJ158">
        <f t="shared" ref="AJ158:AJ183" si="144">IF(S158=2,O158-T158,0)</f>
        <v>1569</v>
      </c>
      <c r="AK158">
        <f t="shared" ref="AK158:AK183" si="145">IF(S158=3,O158-T158,0)</f>
        <v>0</v>
      </c>
      <c r="AL158">
        <f t="shared" ref="AL158:AL183" si="146">IF(S158=4,O158-T158,0)</f>
        <v>0</v>
      </c>
      <c r="AN158">
        <f t="shared" ref="AN158:AN183" si="147">IF(S158=1,O158-T158,0)</f>
        <v>0</v>
      </c>
      <c r="AO158">
        <f t="shared" ref="AO158:AO183" si="148">IF(S158=2,O158-T158,0)</f>
        <v>1569</v>
      </c>
      <c r="AP158">
        <f t="shared" ref="AP158:AP183" si="149">IF(S158=3,O158-T158,0)</f>
        <v>0</v>
      </c>
      <c r="AQ158">
        <f t="shared" ref="AQ158:AQ183" si="150">IF(S158=4,O158-T158,0)</f>
        <v>0</v>
      </c>
    </row>
    <row r="159" spans="2:43" x14ac:dyDescent="0.3">
      <c r="B159" s="86" t="s">
        <v>560</v>
      </c>
      <c r="C159" t="s">
        <v>561</v>
      </c>
      <c r="D159" s="84" t="s">
        <v>370</v>
      </c>
      <c r="E159" s="84">
        <f t="shared" si="131"/>
        <v>0</v>
      </c>
      <c r="F159" s="84">
        <f t="shared" si="132"/>
        <v>1</v>
      </c>
      <c r="G159" s="84" t="s">
        <v>562</v>
      </c>
      <c r="H159" s="85">
        <v>7</v>
      </c>
      <c r="I159" s="85"/>
      <c r="J159" s="84" t="s">
        <v>563</v>
      </c>
      <c r="K159" s="84" t="s">
        <v>55</v>
      </c>
      <c r="L159" s="90">
        <v>0</v>
      </c>
      <c r="M159" s="96" t="s">
        <v>36</v>
      </c>
      <c r="N159" s="84"/>
      <c r="O159" s="107">
        <v>1364</v>
      </c>
      <c r="P159" s="58">
        <f t="shared" si="133"/>
        <v>546</v>
      </c>
      <c r="Q159" s="84">
        <f t="shared" si="134"/>
        <v>1391</v>
      </c>
      <c r="R159" s="57" t="s">
        <v>564</v>
      </c>
      <c r="S159" s="89"/>
      <c r="T159" s="89">
        <f t="shared" si="135"/>
        <v>73</v>
      </c>
      <c r="U159" s="87" t="str">
        <f t="shared" si="136"/>
        <v>PAYPAL</v>
      </c>
      <c r="V159" s="97">
        <v>2</v>
      </c>
      <c r="W159" s="90" t="s">
        <v>559</v>
      </c>
      <c r="X159" s="89">
        <f t="shared" si="137"/>
        <v>1937</v>
      </c>
      <c r="Y159" s="89"/>
      <c r="Z159" s="58">
        <f t="shared" si="138"/>
        <v>0</v>
      </c>
      <c r="AA159" s="58">
        <f t="shared" si="139"/>
        <v>130</v>
      </c>
      <c r="AB159" s="58"/>
      <c r="AC159" s="98">
        <f t="shared" si="140"/>
        <v>1307</v>
      </c>
      <c r="AD159" s="58"/>
      <c r="AE159" s="58">
        <f t="shared" si="141"/>
        <v>30</v>
      </c>
      <c r="AF159" s="58">
        <f>IF(AG159&gt;0,AG58:AG159,0)</f>
        <v>1277</v>
      </c>
      <c r="AG159" s="58">
        <f t="shared" si="142"/>
        <v>1277</v>
      </c>
      <c r="AI159">
        <f t="shared" si="143"/>
        <v>0</v>
      </c>
      <c r="AJ159">
        <f t="shared" si="144"/>
        <v>0</v>
      </c>
      <c r="AK159">
        <f t="shared" si="145"/>
        <v>0</v>
      </c>
      <c r="AL159">
        <f t="shared" si="146"/>
        <v>0</v>
      </c>
      <c r="AN159">
        <f t="shared" si="147"/>
        <v>0</v>
      </c>
      <c r="AO159">
        <f t="shared" si="148"/>
        <v>0</v>
      </c>
      <c r="AP159">
        <f t="shared" si="149"/>
        <v>0</v>
      </c>
      <c r="AQ159">
        <f t="shared" si="150"/>
        <v>0</v>
      </c>
    </row>
    <row r="160" spans="2:43" x14ac:dyDescent="0.3">
      <c r="B160" s="86" t="s">
        <v>571</v>
      </c>
      <c r="C160" t="s">
        <v>572</v>
      </c>
      <c r="D160" s="85" t="s">
        <v>370</v>
      </c>
      <c r="E160" s="84">
        <f t="shared" si="131"/>
        <v>0</v>
      </c>
      <c r="F160" s="84">
        <f t="shared" si="132"/>
        <v>1</v>
      </c>
      <c r="G160" s="85" t="s">
        <v>573</v>
      </c>
      <c r="H160" s="85">
        <v>6</v>
      </c>
      <c r="I160" s="85"/>
      <c r="J160" s="85" t="s">
        <v>103</v>
      </c>
      <c r="K160" s="84" t="s">
        <v>55</v>
      </c>
      <c r="L160" s="90">
        <v>0</v>
      </c>
      <c r="M160" s="96" t="s">
        <v>36</v>
      </c>
      <c r="N160" s="84"/>
      <c r="O160" s="107">
        <v>1190</v>
      </c>
      <c r="P160" s="58">
        <f t="shared" si="133"/>
        <v>476</v>
      </c>
      <c r="Q160" s="84">
        <f t="shared" si="134"/>
        <v>1280</v>
      </c>
      <c r="R160" s="57" t="s">
        <v>564</v>
      </c>
      <c r="S160" s="89">
        <v>2</v>
      </c>
      <c r="T160" s="89">
        <f t="shared" si="135"/>
        <v>66</v>
      </c>
      <c r="U160" s="87" t="str">
        <f t="shared" si="136"/>
        <v>PAYPAL</v>
      </c>
      <c r="V160" s="97">
        <v>2</v>
      </c>
      <c r="W160" s="90" t="s">
        <v>683</v>
      </c>
      <c r="X160" s="89">
        <f t="shared" si="137"/>
        <v>1756</v>
      </c>
      <c r="Y160" s="89"/>
      <c r="Z160" s="58">
        <f t="shared" si="138"/>
        <v>0</v>
      </c>
      <c r="AA160" s="58">
        <f t="shared" si="139"/>
        <v>130</v>
      </c>
      <c r="AB160" s="58"/>
      <c r="AC160" s="98">
        <f t="shared" si="140"/>
        <v>1126</v>
      </c>
      <c r="AD160" s="58"/>
      <c r="AE160" s="58">
        <f t="shared" si="141"/>
        <v>30</v>
      </c>
      <c r="AF160" s="58">
        <f>IF(AG160&gt;0,AG58:AG160,0)</f>
        <v>1096</v>
      </c>
      <c r="AG160" s="58">
        <f t="shared" si="142"/>
        <v>1096</v>
      </c>
      <c r="AI160">
        <f t="shared" si="143"/>
        <v>0</v>
      </c>
      <c r="AJ160">
        <f t="shared" si="144"/>
        <v>1124</v>
      </c>
      <c r="AK160">
        <f t="shared" si="145"/>
        <v>0</v>
      </c>
      <c r="AL160">
        <f t="shared" si="146"/>
        <v>0</v>
      </c>
      <c r="AN160">
        <f t="shared" si="147"/>
        <v>0</v>
      </c>
      <c r="AO160">
        <f t="shared" si="148"/>
        <v>1124</v>
      </c>
      <c r="AP160">
        <f t="shared" si="149"/>
        <v>0</v>
      </c>
      <c r="AQ160">
        <f t="shared" si="150"/>
        <v>0</v>
      </c>
    </row>
    <row r="161" spans="2:43" ht="18" x14ac:dyDescent="0.35">
      <c r="B161" s="103" t="s">
        <v>82</v>
      </c>
      <c r="C161" s="86" t="s">
        <v>438</v>
      </c>
      <c r="D161" s="84" t="s">
        <v>42</v>
      </c>
      <c r="E161" s="85">
        <f t="shared" si="131"/>
        <v>3</v>
      </c>
      <c r="F161" s="85">
        <f t="shared" si="132"/>
        <v>0</v>
      </c>
      <c r="G161" s="108" t="s">
        <v>598</v>
      </c>
      <c r="H161" s="85">
        <v>3</v>
      </c>
      <c r="I161" s="85"/>
      <c r="J161" s="84" t="s">
        <v>63</v>
      </c>
      <c r="K161" s="84" t="s">
        <v>55</v>
      </c>
      <c r="L161" s="146">
        <v>3</v>
      </c>
      <c r="M161" s="96" t="s">
        <v>36</v>
      </c>
      <c r="N161" s="85"/>
      <c r="O161" s="163">
        <v>0</v>
      </c>
      <c r="P161" s="113">
        <f t="shared" si="133"/>
        <v>0</v>
      </c>
      <c r="Q161" s="85">
        <f t="shared" si="134"/>
        <v>0</v>
      </c>
      <c r="R161" s="153"/>
      <c r="S161" s="154">
        <v>2</v>
      </c>
      <c r="T161" s="154">
        <f t="shared" si="135"/>
        <v>0</v>
      </c>
      <c r="U161" s="87" t="str">
        <f t="shared" si="136"/>
        <v>NONE</v>
      </c>
      <c r="V161" s="97"/>
      <c r="W161" s="146"/>
      <c r="X161" s="154">
        <f t="shared" si="137"/>
        <v>0</v>
      </c>
      <c r="Y161" s="154"/>
      <c r="Z161" s="113">
        <f t="shared" si="138"/>
        <v>0</v>
      </c>
      <c r="AA161" s="113">
        <f t="shared" si="139"/>
        <v>130</v>
      </c>
      <c r="AB161" s="113"/>
      <c r="AC161" s="155">
        <f t="shared" si="140"/>
        <v>-130</v>
      </c>
      <c r="AD161" s="113"/>
      <c r="AE161" s="113">
        <f t="shared" si="141"/>
        <v>0</v>
      </c>
      <c r="AF161" s="113">
        <f>IF(AG161&gt;0,AG83:AG161,0)</f>
        <v>0</v>
      </c>
      <c r="AG161" s="113">
        <f t="shared" si="142"/>
        <v>-130</v>
      </c>
      <c r="AI161">
        <f t="shared" si="143"/>
        <v>0</v>
      </c>
      <c r="AJ161">
        <f t="shared" si="144"/>
        <v>0</v>
      </c>
      <c r="AK161">
        <f t="shared" si="145"/>
        <v>0</v>
      </c>
      <c r="AL161">
        <f t="shared" si="146"/>
        <v>0</v>
      </c>
      <c r="AN161">
        <f t="shared" si="147"/>
        <v>0</v>
      </c>
      <c r="AO161">
        <f t="shared" si="148"/>
        <v>0</v>
      </c>
      <c r="AP161">
        <f t="shared" si="149"/>
        <v>0</v>
      </c>
      <c r="AQ161">
        <f t="shared" si="150"/>
        <v>0</v>
      </c>
    </row>
    <row r="162" spans="2:43" x14ac:dyDescent="0.3">
      <c r="B162" s="86" t="s">
        <v>603</v>
      </c>
      <c r="C162" t="s">
        <v>687</v>
      </c>
      <c r="D162" s="84" t="s">
        <v>30</v>
      </c>
      <c r="E162" s="84">
        <f t="shared" si="131"/>
        <v>0</v>
      </c>
      <c r="F162" s="84">
        <f t="shared" si="132"/>
        <v>1</v>
      </c>
      <c r="G162" s="84" t="s">
        <v>605</v>
      </c>
      <c r="H162" s="85">
        <v>10</v>
      </c>
      <c r="I162" s="85"/>
      <c r="J162" s="84" t="s">
        <v>604</v>
      </c>
      <c r="K162" s="84" t="s">
        <v>55</v>
      </c>
      <c r="L162" s="90">
        <v>0</v>
      </c>
      <c r="M162" s="96" t="s">
        <v>36</v>
      </c>
      <c r="N162" s="84"/>
      <c r="O162" s="107">
        <v>2335</v>
      </c>
      <c r="P162" s="58">
        <f t="shared" si="133"/>
        <v>934</v>
      </c>
      <c r="Q162" s="84">
        <f t="shared" si="134"/>
        <v>2012</v>
      </c>
      <c r="R162" s="57" t="s">
        <v>606</v>
      </c>
      <c r="S162" s="89">
        <v>2</v>
      </c>
      <c r="T162" s="89">
        <f t="shared" si="135"/>
        <v>111</v>
      </c>
      <c r="U162" s="87" t="str">
        <f t="shared" si="136"/>
        <v>PAYPAL</v>
      </c>
      <c r="V162" s="97">
        <v>2</v>
      </c>
      <c r="W162" s="90" t="s">
        <v>684</v>
      </c>
      <c r="X162" s="89">
        <f t="shared" si="137"/>
        <v>2946</v>
      </c>
      <c r="Y162" s="89"/>
      <c r="Z162" s="58">
        <f t="shared" si="138"/>
        <v>0</v>
      </c>
      <c r="AA162" s="58">
        <f t="shared" si="139"/>
        <v>130</v>
      </c>
      <c r="AB162" s="58"/>
      <c r="AC162" s="98">
        <f t="shared" si="140"/>
        <v>2316</v>
      </c>
      <c r="AD162" s="58"/>
      <c r="AE162" s="58">
        <f t="shared" si="141"/>
        <v>30</v>
      </c>
      <c r="AF162" s="58">
        <f>IF(AG162&gt;0,AG60:AG162,0)</f>
        <v>2286</v>
      </c>
      <c r="AG162" s="58">
        <f t="shared" si="142"/>
        <v>2286</v>
      </c>
      <c r="AI162">
        <f t="shared" si="143"/>
        <v>0</v>
      </c>
      <c r="AJ162">
        <f t="shared" si="144"/>
        <v>2224</v>
      </c>
      <c r="AK162">
        <f t="shared" si="145"/>
        <v>0</v>
      </c>
      <c r="AL162">
        <f t="shared" si="146"/>
        <v>0</v>
      </c>
      <c r="AN162">
        <f t="shared" si="147"/>
        <v>0</v>
      </c>
      <c r="AO162">
        <f t="shared" si="148"/>
        <v>2224</v>
      </c>
      <c r="AP162">
        <f t="shared" si="149"/>
        <v>0</v>
      </c>
      <c r="AQ162">
        <f t="shared" si="150"/>
        <v>0</v>
      </c>
    </row>
    <row r="163" spans="2:43" x14ac:dyDescent="0.3">
      <c r="B163" s="181" t="s">
        <v>689</v>
      </c>
      <c r="C163" t="s">
        <v>609</v>
      </c>
      <c r="D163" s="84" t="s">
        <v>616</v>
      </c>
      <c r="E163" s="85">
        <f t="shared" si="131"/>
        <v>0</v>
      </c>
      <c r="F163" s="85">
        <f t="shared" si="132"/>
        <v>1</v>
      </c>
      <c r="G163" s="85" t="s">
        <v>608</v>
      </c>
      <c r="H163" s="85">
        <v>10</v>
      </c>
      <c r="I163" s="85"/>
      <c r="J163" s="84" t="s">
        <v>610</v>
      </c>
      <c r="K163" s="84" t="s">
        <v>55</v>
      </c>
      <c r="L163" s="146">
        <v>3</v>
      </c>
      <c r="M163" s="96" t="s">
        <v>36</v>
      </c>
      <c r="N163" s="85"/>
      <c r="O163" s="163">
        <v>1692</v>
      </c>
      <c r="P163" s="113">
        <f t="shared" si="133"/>
        <v>677</v>
      </c>
      <c r="Q163" s="85">
        <f t="shared" si="134"/>
        <v>1600</v>
      </c>
      <c r="R163" s="57" t="s">
        <v>611</v>
      </c>
      <c r="S163" s="154">
        <v>3</v>
      </c>
      <c r="T163" s="154">
        <f t="shared" si="135"/>
        <v>85</v>
      </c>
      <c r="U163" s="87" t="str">
        <f t="shared" si="136"/>
        <v>PAYPAL</v>
      </c>
      <c r="V163" s="97">
        <v>2</v>
      </c>
      <c r="W163" s="90" t="s">
        <v>688</v>
      </c>
      <c r="X163" s="154">
        <f t="shared" si="137"/>
        <v>2277</v>
      </c>
      <c r="Y163" s="154"/>
      <c r="Z163" s="113">
        <f t="shared" si="138"/>
        <v>0</v>
      </c>
      <c r="AA163" s="113">
        <f t="shared" si="139"/>
        <v>130</v>
      </c>
      <c r="AB163" s="113"/>
      <c r="AC163" s="155">
        <f t="shared" si="140"/>
        <v>1647</v>
      </c>
      <c r="AD163" s="113"/>
      <c r="AE163" s="113">
        <f t="shared" si="141"/>
        <v>30</v>
      </c>
      <c r="AF163" s="113">
        <f>IF(AG163&gt;0,AG83:AG182,0)</f>
        <v>1617</v>
      </c>
      <c r="AG163" s="113">
        <f t="shared" si="142"/>
        <v>1617</v>
      </c>
      <c r="AI163">
        <f t="shared" si="143"/>
        <v>0</v>
      </c>
      <c r="AJ163">
        <f t="shared" si="144"/>
        <v>0</v>
      </c>
      <c r="AK163">
        <f t="shared" si="145"/>
        <v>1607</v>
      </c>
      <c r="AL163">
        <f t="shared" si="146"/>
        <v>0</v>
      </c>
      <c r="AN163">
        <f t="shared" si="147"/>
        <v>0</v>
      </c>
      <c r="AO163">
        <f t="shared" si="148"/>
        <v>0</v>
      </c>
      <c r="AP163">
        <f t="shared" si="149"/>
        <v>1607</v>
      </c>
      <c r="AQ163">
        <f t="shared" si="150"/>
        <v>0</v>
      </c>
    </row>
    <row r="164" spans="2:43" x14ac:dyDescent="0.3">
      <c r="B164" s="103" t="s">
        <v>82</v>
      </c>
      <c r="C164" s="86" t="s">
        <v>438</v>
      </c>
      <c r="D164" s="85" t="s">
        <v>42</v>
      </c>
      <c r="E164" s="84">
        <f t="shared" si="131"/>
        <v>21</v>
      </c>
      <c r="F164" s="84">
        <f t="shared" si="132"/>
        <v>0</v>
      </c>
      <c r="G164" s="108" t="s">
        <v>607</v>
      </c>
      <c r="H164" s="85">
        <v>21</v>
      </c>
      <c r="I164" s="85"/>
      <c r="J164" s="84" t="s">
        <v>63</v>
      </c>
      <c r="K164" s="84" t="s">
        <v>55</v>
      </c>
      <c r="L164" s="90">
        <v>3</v>
      </c>
      <c r="M164" s="96" t="s">
        <v>36</v>
      </c>
      <c r="N164" s="84"/>
      <c r="O164" s="107">
        <v>0</v>
      </c>
      <c r="P164" s="58">
        <f t="shared" si="133"/>
        <v>0</v>
      </c>
      <c r="Q164" s="84">
        <f t="shared" si="134"/>
        <v>0</v>
      </c>
      <c r="R164" s="57"/>
      <c r="S164" s="89"/>
      <c r="T164" s="89">
        <f t="shared" si="135"/>
        <v>0</v>
      </c>
      <c r="U164" s="87" t="str">
        <f t="shared" si="136"/>
        <v>NONE</v>
      </c>
      <c r="V164" s="97"/>
      <c r="W164" s="90"/>
      <c r="X164" s="89">
        <f t="shared" si="137"/>
        <v>0</v>
      </c>
      <c r="Y164" s="89"/>
      <c r="Z164" s="58">
        <f t="shared" si="138"/>
        <v>0</v>
      </c>
      <c r="AA164" s="58">
        <f t="shared" si="139"/>
        <v>130</v>
      </c>
      <c r="AB164" s="58"/>
      <c r="AC164" s="98">
        <f t="shared" si="140"/>
        <v>-130</v>
      </c>
      <c r="AD164" s="58"/>
      <c r="AE164" s="58">
        <f t="shared" si="141"/>
        <v>0</v>
      </c>
      <c r="AF164" s="58">
        <f>IF(AG164&gt;0,AG84:AG164,0)</f>
        <v>0</v>
      </c>
      <c r="AG164" s="58">
        <f t="shared" si="142"/>
        <v>-130</v>
      </c>
      <c r="AI164">
        <f t="shared" si="143"/>
        <v>0</v>
      </c>
      <c r="AJ164">
        <f t="shared" si="144"/>
        <v>0</v>
      </c>
      <c r="AK164">
        <f t="shared" si="145"/>
        <v>0</v>
      </c>
      <c r="AL164">
        <f t="shared" si="146"/>
        <v>0</v>
      </c>
      <c r="AN164">
        <f t="shared" si="147"/>
        <v>0</v>
      </c>
      <c r="AO164">
        <f t="shared" si="148"/>
        <v>0</v>
      </c>
      <c r="AP164">
        <f t="shared" si="149"/>
        <v>0</v>
      </c>
      <c r="AQ164">
        <f t="shared" si="150"/>
        <v>0</v>
      </c>
    </row>
    <row r="165" spans="2:43" x14ac:dyDescent="0.3">
      <c r="B165" s="84" t="s">
        <v>441</v>
      </c>
      <c r="C165" t="s">
        <v>442</v>
      </c>
      <c r="D165" s="84" t="s">
        <v>443</v>
      </c>
      <c r="E165" s="84">
        <f t="shared" ref="E165:E183" si="151">IF(D165=$B$12,H165,0)</f>
        <v>0</v>
      </c>
      <c r="F165" s="84">
        <f t="shared" si="132"/>
        <v>1</v>
      </c>
      <c r="G165" s="84" t="s">
        <v>444</v>
      </c>
      <c r="H165" s="85">
        <v>7</v>
      </c>
      <c r="I165" s="85"/>
      <c r="J165" s="84" t="s">
        <v>363</v>
      </c>
      <c r="K165" s="84" t="s">
        <v>55</v>
      </c>
      <c r="L165" s="90">
        <v>0</v>
      </c>
      <c r="M165" s="96" t="s">
        <v>36</v>
      </c>
      <c r="N165" s="84"/>
      <c r="O165" s="107">
        <v>1495</v>
      </c>
      <c r="P165" s="156">
        <f t="shared" ref="P165:P183" si="152">ROUND((O165*0.4),0)</f>
        <v>598</v>
      </c>
      <c r="Q165" s="84">
        <f t="shared" si="134"/>
        <v>1475</v>
      </c>
      <c r="R165" s="57" t="s">
        <v>445</v>
      </c>
      <c r="S165" s="89">
        <v>3</v>
      </c>
      <c r="T165" s="89">
        <f t="shared" si="135"/>
        <v>78</v>
      </c>
      <c r="U165" s="87" t="str">
        <f t="shared" ref="U165:U183" si="153">IF(V165=1,$AD$2,IF(V165=2,$AD$1,IF(AND(V165&lt;&gt;1,V165&lt;&gt;20)=TRUE,$AD$3)))</f>
        <v>PAYPAL</v>
      </c>
      <c r="V165" s="97">
        <v>2</v>
      </c>
      <c r="W165" s="90" t="s">
        <v>656</v>
      </c>
      <c r="X165" s="89">
        <f t="shared" si="137"/>
        <v>2073</v>
      </c>
      <c r="Y165" s="89"/>
      <c r="Z165" s="58">
        <f t="shared" si="138"/>
        <v>0</v>
      </c>
      <c r="AA165" s="58">
        <f t="shared" si="139"/>
        <v>130</v>
      </c>
      <c r="AB165" s="58"/>
      <c r="AC165" s="98">
        <f t="shared" si="140"/>
        <v>1443</v>
      </c>
      <c r="AD165" s="58"/>
      <c r="AE165" s="58">
        <f t="shared" si="141"/>
        <v>30</v>
      </c>
      <c r="AF165" s="58">
        <f>IF(AG165&gt;0,AG87:AG165,0)</f>
        <v>1413</v>
      </c>
      <c r="AG165" s="58">
        <f t="shared" si="142"/>
        <v>1413</v>
      </c>
      <c r="AI165">
        <f t="shared" si="143"/>
        <v>0</v>
      </c>
      <c r="AJ165">
        <f t="shared" si="144"/>
        <v>0</v>
      </c>
      <c r="AK165">
        <f t="shared" si="145"/>
        <v>1417</v>
      </c>
      <c r="AL165">
        <f t="shared" si="146"/>
        <v>0</v>
      </c>
      <c r="AN165">
        <f t="shared" si="147"/>
        <v>0</v>
      </c>
      <c r="AO165">
        <f t="shared" si="148"/>
        <v>0</v>
      </c>
      <c r="AP165">
        <f t="shared" si="149"/>
        <v>1417</v>
      </c>
      <c r="AQ165">
        <f t="shared" si="150"/>
        <v>0</v>
      </c>
    </row>
    <row r="166" spans="2:43" s="84" customFormat="1" ht="15.6" x14ac:dyDescent="0.3">
      <c r="B166" s="198" t="s">
        <v>586</v>
      </c>
      <c r="C166" t="s">
        <v>587</v>
      </c>
      <c r="D166" s="84" t="s">
        <v>30</v>
      </c>
      <c r="E166" s="84">
        <f t="shared" si="151"/>
        <v>0</v>
      </c>
      <c r="F166" s="84">
        <f t="shared" si="132"/>
        <v>1</v>
      </c>
      <c r="G166" s="84" t="s">
        <v>588</v>
      </c>
      <c r="H166" s="85">
        <v>10</v>
      </c>
      <c r="I166" s="85"/>
      <c r="J166" s="84" t="s">
        <v>166</v>
      </c>
      <c r="K166" s="84" t="s">
        <v>55</v>
      </c>
      <c r="L166" s="109">
        <v>0</v>
      </c>
      <c r="M166" s="96" t="s">
        <v>36</v>
      </c>
      <c r="O166" s="107">
        <v>2335</v>
      </c>
      <c r="P166" s="58">
        <f t="shared" si="152"/>
        <v>934</v>
      </c>
      <c r="Q166" s="84">
        <f t="shared" si="134"/>
        <v>2012</v>
      </c>
      <c r="R166" s="57" t="s">
        <v>589</v>
      </c>
      <c r="S166" s="89">
        <v>3</v>
      </c>
      <c r="T166" s="89">
        <f t="shared" si="135"/>
        <v>111</v>
      </c>
      <c r="U166" s="87" t="str">
        <f t="shared" si="153"/>
        <v>PAYPAL</v>
      </c>
      <c r="V166" s="97">
        <v>2</v>
      </c>
      <c r="W166" s="90" t="s">
        <v>559</v>
      </c>
      <c r="X166" s="89">
        <f t="shared" si="137"/>
        <v>2946</v>
      </c>
      <c r="Y166" s="89"/>
      <c r="Z166" s="58">
        <f t="shared" si="138"/>
        <v>0</v>
      </c>
      <c r="AA166" s="58">
        <f t="shared" si="139"/>
        <v>130</v>
      </c>
      <c r="AB166" s="58"/>
      <c r="AC166" s="98">
        <f t="shared" si="140"/>
        <v>2316</v>
      </c>
      <c r="AD166" s="58"/>
      <c r="AE166" s="58">
        <f t="shared" si="141"/>
        <v>30</v>
      </c>
      <c r="AF166" s="58">
        <f>IF(AG166&gt;0,AG87:AG166,0)</f>
        <v>2286</v>
      </c>
      <c r="AG166" s="58">
        <f t="shared" si="142"/>
        <v>2286</v>
      </c>
      <c r="AI166" s="84">
        <f t="shared" si="143"/>
        <v>0</v>
      </c>
      <c r="AJ166" s="84">
        <f t="shared" si="144"/>
        <v>0</v>
      </c>
      <c r="AK166" s="84">
        <f t="shared" si="145"/>
        <v>2224</v>
      </c>
      <c r="AL166" s="84">
        <f t="shared" si="146"/>
        <v>0</v>
      </c>
      <c r="AN166" s="84">
        <f t="shared" si="147"/>
        <v>0</v>
      </c>
      <c r="AO166" s="84">
        <f t="shared" si="148"/>
        <v>0</v>
      </c>
      <c r="AP166" s="84">
        <f t="shared" si="149"/>
        <v>2224</v>
      </c>
      <c r="AQ166" s="84">
        <f t="shared" si="150"/>
        <v>0</v>
      </c>
    </row>
    <row r="167" spans="2:43" x14ac:dyDescent="0.3">
      <c r="B167" s="86" t="s">
        <v>622</v>
      </c>
      <c r="C167" t="s">
        <v>623</v>
      </c>
      <c r="D167" s="85" t="s">
        <v>89</v>
      </c>
      <c r="E167" s="84">
        <f>IF(D167=$B$12,H167,0)</f>
        <v>0</v>
      </c>
      <c r="F167" s="84">
        <f t="shared" si="132"/>
        <v>1</v>
      </c>
      <c r="G167" s="84" t="s">
        <v>624</v>
      </c>
      <c r="H167" s="85">
        <v>6</v>
      </c>
      <c r="I167" s="85"/>
      <c r="J167" s="84" t="s">
        <v>35</v>
      </c>
      <c r="K167" s="84" t="s">
        <v>55</v>
      </c>
      <c r="L167" s="90">
        <v>0</v>
      </c>
      <c r="M167" s="96" t="s">
        <v>36</v>
      </c>
      <c r="N167" s="84"/>
      <c r="O167" s="107">
        <v>1471</v>
      </c>
      <c r="P167" s="58">
        <f>ROUND((O167*0.4),0)</f>
        <v>588</v>
      </c>
      <c r="Q167" s="84">
        <f t="shared" si="134"/>
        <v>1460</v>
      </c>
      <c r="R167" s="57" t="s">
        <v>625</v>
      </c>
      <c r="S167" s="89"/>
      <c r="T167" s="89">
        <f t="shared" si="135"/>
        <v>77</v>
      </c>
      <c r="U167" s="87" t="str">
        <f>IF(V167=1,$AD$2,IF(V167=2,$AD$1,IF(AND(V167&lt;&gt;1,V167&lt;&gt;20)=TRUE,$AD$3)))</f>
        <v>PAYPAL</v>
      </c>
      <c r="V167" s="97">
        <v>2</v>
      </c>
      <c r="W167" s="90" t="s">
        <v>700</v>
      </c>
      <c r="X167" s="89">
        <f t="shared" si="137"/>
        <v>2048</v>
      </c>
      <c r="Y167" s="89"/>
      <c r="Z167" s="58">
        <f t="shared" si="138"/>
        <v>0</v>
      </c>
      <c r="AA167" s="58">
        <f t="shared" si="139"/>
        <v>130</v>
      </c>
      <c r="AB167" s="58"/>
      <c r="AC167" s="98">
        <f t="shared" si="140"/>
        <v>1418</v>
      </c>
      <c r="AD167" s="58"/>
      <c r="AE167" s="58">
        <f t="shared" si="141"/>
        <v>30</v>
      </c>
      <c r="AF167" s="58">
        <f>IF(AG167&gt;0,AG58:AG167,0)</f>
        <v>1388</v>
      </c>
      <c r="AG167" s="58">
        <f t="shared" si="142"/>
        <v>1388</v>
      </c>
      <c r="AI167">
        <f t="shared" si="143"/>
        <v>0</v>
      </c>
      <c r="AJ167">
        <f t="shared" si="144"/>
        <v>0</v>
      </c>
      <c r="AK167">
        <f t="shared" si="145"/>
        <v>0</v>
      </c>
      <c r="AL167">
        <f t="shared" si="146"/>
        <v>0</v>
      </c>
      <c r="AN167">
        <f t="shared" si="147"/>
        <v>0</v>
      </c>
      <c r="AO167">
        <f t="shared" si="148"/>
        <v>0</v>
      </c>
      <c r="AP167">
        <f t="shared" si="149"/>
        <v>0</v>
      </c>
      <c r="AQ167">
        <f t="shared" si="150"/>
        <v>0</v>
      </c>
    </row>
    <row r="168" spans="2:43" x14ac:dyDescent="0.3">
      <c r="B168" s="103" t="s">
        <v>82</v>
      </c>
      <c r="C168" s="86" t="s">
        <v>438</v>
      </c>
      <c r="D168" s="85" t="s">
        <v>42</v>
      </c>
      <c r="E168" s="84">
        <f t="shared" si="151"/>
        <v>4</v>
      </c>
      <c r="F168" s="84">
        <f t="shared" si="132"/>
        <v>0</v>
      </c>
      <c r="G168" s="108" t="s">
        <v>614</v>
      </c>
      <c r="H168" s="85">
        <v>4</v>
      </c>
      <c r="I168" s="85"/>
      <c r="J168" s="84" t="s">
        <v>63</v>
      </c>
      <c r="K168" s="84" t="s">
        <v>55</v>
      </c>
      <c r="L168" s="90">
        <v>3</v>
      </c>
      <c r="M168" s="96" t="s">
        <v>36</v>
      </c>
      <c r="N168" s="84"/>
      <c r="O168" s="107">
        <v>0</v>
      </c>
      <c r="P168" s="58">
        <f t="shared" si="152"/>
        <v>0</v>
      </c>
      <c r="Q168" s="84">
        <f t="shared" si="134"/>
        <v>0</v>
      </c>
      <c r="R168" s="57"/>
      <c r="S168" s="89"/>
      <c r="T168" s="89">
        <f t="shared" si="135"/>
        <v>0</v>
      </c>
      <c r="U168" s="87" t="str">
        <f t="shared" si="153"/>
        <v>NONE</v>
      </c>
      <c r="V168" s="97"/>
      <c r="W168" s="90"/>
      <c r="X168" s="89">
        <f t="shared" si="137"/>
        <v>0</v>
      </c>
      <c r="Y168" s="89"/>
      <c r="Z168" s="58">
        <f t="shared" si="138"/>
        <v>0</v>
      </c>
      <c r="AA168" s="58">
        <f t="shared" si="139"/>
        <v>130</v>
      </c>
      <c r="AB168" s="58"/>
      <c r="AC168" s="98">
        <f t="shared" si="140"/>
        <v>-130</v>
      </c>
      <c r="AD168" s="58"/>
      <c r="AE168" s="58">
        <f t="shared" si="141"/>
        <v>0</v>
      </c>
      <c r="AF168" s="58">
        <f>IF(AG168&gt;0,AG87:AG168,0)</f>
        <v>0</v>
      </c>
      <c r="AG168" s="58">
        <f t="shared" si="142"/>
        <v>-130</v>
      </c>
      <c r="AI168">
        <f t="shared" si="143"/>
        <v>0</v>
      </c>
      <c r="AJ168">
        <f t="shared" si="144"/>
        <v>0</v>
      </c>
      <c r="AK168">
        <f t="shared" si="145"/>
        <v>0</v>
      </c>
      <c r="AL168">
        <f t="shared" si="146"/>
        <v>0</v>
      </c>
      <c r="AN168">
        <f t="shared" si="147"/>
        <v>0</v>
      </c>
      <c r="AO168">
        <f t="shared" si="148"/>
        <v>0</v>
      </c>
      <c r="AP168">
        <f t="shared" si="149"/>
        <v>0</v>
      </c>
      <c r="AQ168">
        <f t="shared" si="150"/>
        <v>0</v>
      </c>
    </row>
    <row r="169" spans="2:43" x14ac:dyDescent="0.3">
      <c r="B169" s="111" t="s">
        <v>653</v>
      </c>
      <c r="C169" s="84" t="s">
        <v>704</v>
      </c>
      <c r="D169" s="84" t="s">
        <v>30</v>
      </c>
      <c r="E169" s="84">
        <f t="shared" si="151"/>
        <v>0</v>
      </c>
      <c r="F169" s="84">
        <f t="shared" si="132"/>
        <v>1</v>
      </c>
      <c r="G169" s="84" t="s">
        <v>521</v>
      </c>
      <c r="H169" s="85">
        <v>8</v>
      </c>
      <c r="I169" s="85"/>
      <c r="J169" s="84" t="s">
        <v>569</v>
      </c>
      <c r="K169" s="84" t="s">
        <v>55</v>
      </c>
      <c r="L169" s="90">
        <v>0</v>
      </c>
      <c r="M169" s="96" t="s">
        <v>36</v>
      </c>
      <c r="N169" s="84"/>
      <c r="O169" s="107">
        <v>1433</v>
      </c>
      <c r="P169" s="58">
        <f>ROUND((O169*0.4),0)</f>
        <v>573</v>
      </c>
      <c r="Q169" s="84">
        <f t="shared" si="134"/>
        <v>1435</v>
      </c>
      <c r="R169" s="57" t="s">
        <v>522</v>
      </c>
      <c r="S169" s="89">
        <v>3</v>
      </c>
      <c r="T169" s="89">
        <f t="shared" si="135"/>
        <v>75</v>
      </c>
      <c r="U169" s="87" t="str">
        <f>IF(V169=1,$AD$2,IF(V169=2,$AD$1,IF(AND(V169&lt;&gt;1,V169&lt;&gt;20)=TRUE,$AD$3)))</f>
        <v>PAYPAL</v>
      </c>
      <c r="V169" s="97">
        <v>2</v>
      </c>
      <c r="W169" s="90" t="s">
        <v>162</v>
      </c>
      <c r="X169" s="89">
        <f t="shared" si="137"/>
        <v>2008</v>
      </c>
      <c r="Y169" s="89"/>
      <c r="Z169" s="58">
        <f t="shared" si="138"/>
        <v>0</v>
      </c>
      <c r="AA169" s="58">
        <f t="shared" si="139"/>
        <v>130</v>
      </c>
      <c r="AB169" s="58"/>
      <c r="AC169" s="98">
        <f t="shared" si="140"/>
        <v>1378</v>
      </c>
      <c r="AD169" s="58"/>
      <c r="AE169" s="58">
        <f t="shared" si="141"/>
        <v>30</v>
      </c>
      <c r="AF169" s="58">
        <f>IF(AG169&gt;0,AG65:AG169,0)</f>
        <v>1348</v>
      </c>
      <c r="AG169" s="58">
        <f t="shared" si="142"/>
        <v>1348</v>
      </c>
      <c r="AI169">
        <f t="shared" si="143"/>
        <v>0</v>
      </c>
      <c r="AJ169">
        <f t="shared" si="144"/>
        <v>0</v>
      </c>
      <c r="AK169">
        <f t="shared" si="145"/>
        <v>1358</v>
      </c>
      <c r="AL169">
        <f t="shared" si="146"/>
        <v>0</v>
      </c>
      <c r="AN169">
        <f t="shared" si="147"/>
        <v>0</v>
      </c>
      <c r="AO169">
        <f t="shared" si="148"/>
        <v>0</v>
      </c>
      <c r="AP169">
        <f t="shared" si="149"/>
        <v>1358</v>
      </c>
      <c r="AQ169">
        <f t="shared" si="150"/>
        <v>0</v>
      </c>
    </row>
    <row r="170" spans="2:43" x14ac:dyDescent="0.3">
      <c r="B170" s="86" t="s">
        <v>680</v>
      </c>
      <c r="C170" s="86"/>
      <c r="D170" s="84" t="s">
        <v>42</v>
      </c>
      <c r="E170" s="85">
        <f t="shared" si="151"/>
        <v>6</v>
      </c>
      <c r="F170" s="85">
        <f t="shared" si="132"/>
        <v>0</v>
      </c>
      <c r="G170" s="148" t="s">
        <v>681</v>
      </c>
      <c r="H170" s="86">
        <v>6</v>
      </c>
      <c r="I170" s="85"/>
      <c r="J170" s="84" t="s">
        <v>682</v>
      </c>
      <c r="K170" s="84" t="s">
        <v>55</v>
      </c>
      <c r="L170" s="146">
        <v>0</v>
      </c>
      <c r="M170" s="96" t="s">
        <v>36</v>
      </c>
      <c r="N170" s="85"/>
      <c r="O170" s="107">
        <v>0</v>
      </c>
      <c r="P170" s="113">
        <f>ROUND((O170*0.4),0)</f>
        <v>0</v>
      </c>
      <c r="Q170" s="85">
        <f t="shared" si="134"/>
        <v>0</v>
      </c>
      <c r="R170" s="84"/>
      <c r="S170" s="154"/>
      <c r="T170" s="154">
        <f t="shared" si="135"/>
        <v>0</v>
      </c>
      <c r="U170" s="87" t="str">
        <f>IF(V170=1,$AD$2,IF(V170=2,$AD$1,IF(AND(V170&lt;&gt;1,V170&lt;&gt;20)=TRUE,$AD$3)))</f>
        <v>NONE</v>
      </c>
      <c r="V170" s="97"/>
      <c r="W170" s="146"/>
      <c r="X170" s="89">
        <f t="shared" si="137"/>
        <v>0</v>
      </c>
      <c r="Y170" s="154"/>
      <c r="Z170" s="113">
        <f t="shared" si="138"/>
        <v>0</v>
      </c>
      <c r="AA170" s="113">
        <f t="shared" si="139"/>
        <v>130</v>
      </c>
      <c r="AB170" s="113"/>
      <c r="AC170" s="155">
        <f t="shared" si="140"/>
        <v>-130</v>
      </c>
      <c r="AD170" s="113"/>
      <c r="AE170" s="113">
        <f t="shared" si="141"/>
        <v>0</v>
      </c>
      <c r="AF170" s="113">
        <f>IF(AG170&gt;0,AG66:AG179,0)</f>
        <v>0</v>
      </c>
      <c r="AG170" s="113">
        <f t="shared" si="142"/>
        <v>-130</v>
      </c>
      <c r="AI170">
        <f t="shared" si="143"/>
        <v>0</v>
      </c>
      <c r="AJ170">
        <f t="shared" si="144"/>
        <v>0</v>
      </c>
      <c r="AK170">
        <f t="shared" si="145"/>
        <v>0</v>
      </c>
      <c r="AL170">
        <f t="shared" si="146"/>
        <v>0</v>
      </c>
      <c r="AN170">
        <f t="shared" si="147"/>
        <v>0</v>
      </c>
      <c r="AO170">
        <f t="shared" si="148"/>
        <v>0</v>
      </c>
      <c r="AP170">
        <f t="shared" si="149"/>
        <v>0</v>
      </c>
      <c r="AQ170">
        <f t="shared" si="150"/>
        <v>0</v>
      </c>
    </row>
    <row r="171" spans="2:43" x14ac:dyDescent="0.3">
      <c r="B171" s="103" t="s">
        <v>82</v>
      </c>
      <c r="C171" s="86" t="s">
        <v>438</v>
      </c>
      <c r="D171" s="85" t="s">
        <v>42</v>
      </c>
      <c r="E171" s="84">
        <f t="shared" si="151"/>
        <v>4</v>
      </c>
      <c r="F171" s="84">
        <f t="shared" si="132"/>
        <v>0</v>
      </c>
      <c r="G171" s="108" t="s">
        <v>692</v>
      </c>
      <c r="H171" s="85">
        <v>4</v>
      </c>
      <c r="I171" s="85"/>
      <c r="J171" s="84" t="s">
        <v>63</v>
      </c>
      <c r="K171" s="84" t="s">
        <v>55</v>
      </c>
      <c r="L171" s="90">
        <v>3</v>
      </c>
      <c r="M171" s="96" t="s">
        <v>36</v>
      </c>
      <c r="N171" s="84"/>
      <c r="O171" s="107">
        <v>0</v>
      </c>
      <c r="P171" s="58">
        <f t="shared" si="152"/>
        <v>0</v>
      </c>
      <c r="Q171" s="84">
        <f t="shared" si="134"/>
        <v>0</v>
      </c>
      <c r="R171" s="57"/>
      <c r="S171" s="89">
        <v>3</v>
      </c>
      <c r="T171" s="89">
        <f t="shared" si="135"/>
        <v>0</v>
      </c>
      <c r="U171" s="87" t="str">
        <f t="shared" si="153"/>
        <v>NONE</v>
      </c>
      <c r="V171" s="97"/>
      <c r="W171" s="90"/>
      <c r="X171" s="89">
        <f t="shared" si="137"/>
        <v>0</v>
      </c>
      <c r="Y171" s="89"/>
      <c r="Z171" s="58">
        <f t="shared" si="138"/>
        <v>0</v>
      </c>
      <c r="AA171" s="58">
        <f t="shared" si="139"/>
        <v>130</v>
      </c>
      <c r="AB171" s="58"/>
      <c r="AC171" s="98">
        <f t="shared" si="140"/>
        <v>-130</v>
      </c>
      <c r="AD171" s="58"/>
      <c r="AE171" s="58">
        <f t="shared" si="141"/>
        <v>0</v>
      </c>
      <c r="AF171" s="58">
        <f>IF(AG171&gt;0,AG88:AG171,0)</f>
        <v>0</v>
      </c>
      <c r="AG171" s="58">
        <f t="shared" si="142"/>
        <v>-130</v>
      </c>
      <c r="AI171">
        <f t="shared" si="143"/>
        <v>0</v>
      </c>
      <c r="AJ171">
        <f t="shared" si="144"/>
        <v>0</v>
      </c>
      <c r="AK171">
        <f t="shared" si="145"/>
        <v>0</v>
      </c>
      <c r="AL171">
        <f t="shared" si="146"/>
        <v>0</v>
      </c>
      <c r="AN171">
        <f t="shared" si="147"/>
        <v>0</v>
      </c>
      <c r="AO171">
        <f t="shared" si="148"/>
        <v>0</v>
      </c>
      <c r="AP171">
        <f t="shared" si="149"/>
        <v>0</v>
      </c>
      <c r="AQ171">
        <f t="shared" si="150"/>
        <v>0</v>
      </c>
    </row>
    <row r="172" spans="2:43" x14ac:dyDescent="0.3">
      <c r="B172" s="86" t="s">
        <v>662</v>
      </c>
      <c r="C172" t="s">
        <v>690</v>
      </c>
      <c r="D172" s="84"/>
      <c r="E172" s="85">
        <f>IF(D172=$B$12,H172,0)</f>
        <v>0</v>
      </c>
      <c r="F172" s="85">
        <f t="shared" si="132"/>
        <v>1</v>
      </c>
      <c r="G172" s="148" t="s">
        <v>663</v>
      </c>
      <c r="H172" s="86">
        <v>11</v>
      </c>
      <c r="I172" s="85"/>
      <c r="J172" s="84" t="s">
        <v>108</v>
      </c>
      <c r="K172" s="84" t="s">
        <v>55</v>
      </c>
      <c r="L172" s="146">
        <v>0</v>
      </c>
      <c r="M172" s="96" t="s">
        <v>36</v>
      </c>
      <c r="N172" s="85"/>
      <c r="O172" s="107">
        <v>2245</v>
      </c>
      <c r="P172" s="113">
        <f>ROUND((O172*0.4),0)</f>
        <v>898</v>
      </c>
      <c r="Q172" s="85">
        <f t="shared" si="134"/>
        <v>1935</v>
      </c>
      <c r="R172" s="58" t="s">
        <v>691</v>
      </c>
      <c r="S172" s="154">
        <v>4</v>
      </c>
      <c r="T172" s="154">
        <v>88</v>
      </c>
      <c r="U172" s="87" t="str">
        <f>IF(V172=1,$AD$2,IF(V172=2,$AD$1,IF(AND(V172&lt;&gt;1,V172&lt;&gt;20)=TRUE,$AD$3)))</f>
        <v>PAYPAL</v>
      </c>
      <c r="V172" s="97">
        <v>2</v>
      </c>
      <c r="W172" s="90" t="s">
        <v>559</v>
      </c>
      <c r="X172" s="89">
        <f t="shared" si="137"/>
        <v>2833</v>
      </c>
      <c r="Y172" s="154"/>
      <c r="Z172" s="113">
        <f t="shared" si="138"/>
        <v>0</v>
      </c>
      <c r="AA172" s="113">
        <f t="shared" si="139"/>
        <v>130</v>
      </c>
      <c r="AB172" s="113"/>
      <c r="AC172" s="155">
        <f t="shared" si="140"/>
        <v>2203</v>
      </c>
      <c r="AD172" s="113"/>
      <c r="AE172" s="113">
        <f t="shared" si="141"/>
        <v>30</v>
      </c>
      <c r="AF172" s="113">
        <f>IF(AG172&gt;0,AG100:AG217,0)</f>
        <v>2173</v>
      </c>
      <c r="AG172" s="113">
        <f t="shared" si="142"/>
        <v>2173</v>
      </c>
      <c r="AI172">
        <f t="shared" si="143"/>
        <v>0</v>
      </c>
      <c r="AJ172">
        <f t="shared" si="144"/>
        <v>0</v>
      </c>
      <c r="AK172">
        <f t="shared" si="145"/>
        <v>0</v>
      </c>
      <c r="AL172">
        <f t="shared" si="146"/>
        <v>2157</v>
      </c>
      <c r="AN172">
        <f t="shared" si="147"/>
        <v>0</v>
      </c>
      <c r="AO172">
        <f t="shared" si="148"/>
        <v>0</v>
      </c>
      <c r="AP172">
        <f t="shared" si="149"/>
        <v>0</v>
      </c>
      <c r="AQ172">
        <f t="shared" si="150"/>
        <v>2157</v>
      </c>
    </row>
    <row r="173" spans="2:43" x14ac:dyDescent="0.3">
      <c r="B173" s="103" t="s">
        <v>82</v>
      </c>
      <c r="C173" s="86" t="s">
        <v>438</v>
      </c>
      <c r="D173" s="85" t="s">
        <v>42</v>
      </c>
      <c r="E173" s="84">
        <f t="shared" si="151"/>
        <v>3</v>
      </c>
      <c r="F173" s="84">
        <f t="shared" si="132"/>
        <v>0</v>
      </c>
      <c r="G173" s="108" t="s">
        <v>708</v>
      </c>
      <c r="H173" s="85">
        <v>3</v>
      </c>
      <c r="I173" s="85"/>
      <c r="J173" s="84" t="s">
        <v>63</v>
      </c>
      <c r="K173" s="84" t="s">
        <v>55</v>
      </c>
      <c r="L173" s="90">
        <v>3</v>
      </c>
      <c r="M173" s="96" t="s">
        <v>36</v>
      </c>
      <c r="N173" s="84"/>
      <c r="O173" s="107">
        <v>0</v>
      </c>
      <c r="P173" s="58">
        <f t="shared" si="152"/>
        <v>0</v>
      </c>
      <c r="Q173" s="84">
        <f t="shared" si="134"/>
        <v>0</v>
      </c>
      <c r="R173" s="57"/>
      <c r="S173" s="89">
        <v>4</v>
      </c>
      <c r="T173" s="89">
        <f t="shared" ref="T173:T183" si="154">IF(U173=$AD$2,47,IF(U173=$AD$1,ROUND(((O173+500)*0.039),0),IF(U173=$AD$3,0)))</f>
        <v>0</v>
      </c>
      <c r="U173" s="87" t="str">
        <f t="shared" si="153"/>
        <v>NONE</v>
      </c>
      <c r="V173" s="97"/>
      <c r="W173" s="90"/>
      <c r="X173" s="89">
        <f t="shared" si="137"/>
        <v>0</v>
      </c>
      <c r="Y173" s="89"/>
      <c r="Z173" s="58">
        <f t="shared" si="138"/>
        <v>0</v>
      </c>
      <c r="AA173" s="58">
        <f t="shared" si="139"/>
        <v>130</v>
      </c>
      <c r="AB173" s="58"/>
      <c r="AC173" s="98">
        <f t="shared" si="140"/>
        <v>-130</v>
      </c>
      <c r="AD173" s="58"/>
      <c r="AE173" s="58">
        <f t="shared" si="141"/>
        <v>0</v>
      </c>
      <c r="AF173" s="58">
        <f>IF(AG173&gt;0,AG89:AG173,0)</f>
        <v>0</v>
      </c>
      <c r="AG173" s="58">
        <f t="shared" si="142"/>
        <v>-130</v>
      </c>
      <c r="AI173">
        <f t="shared" si="143"/>
        <v>0</v>
      </c>
      <c r="AJ173">
        <f t="shared" si="144"/>
        <v>0</v>
      </c>
      <c r="AK173">
        <f t="shared" si="145"/>
        <v>0</v>
      </c>
      <c r="AL173">
        <f t="shared" si="146"/>
        <v>0</v>
      </c>
      <c r="AN173">
        <f t="shared" si="147"/>
        <v>0</v>
      </c>
      <c r="AO173">
        <f t="shared" si="148"/>
        <v>0</v>
      </c>
      <c r="AP173">
        <f t="shared" si="149"/>
        <v>0</v>
      </c>
      <c r="AQ173">
        <f t="shared" si="150"/>
        <v>0</v>
      </c>
    </row>
    <row r="174" spans="2:43" ht="15.6" x14ac:dyDescent="0.3">
      <c r="B174" s="197" t="s">
        <v>705</v>
      </c>
      <c r="C174" s="197" t="s">
        <v>713</v>
      </c>
      <c r="D174" s="84" t="s">
        <v>616</v>
      </c>
      <c r="E174" s="84">
        <f>IF(D174=$B$12,H174,0)</f>
        <v>0</v>
      </c>
      <c r="F174" s="84">
        <f t="shared" si="132"/>
        <v>1</v>
      </c>
      <c r="G174" s="115" t="s">
        <v>706</v>
      </c>
      <c r="H174" s="85">
        <v>5</v>
      </c>
      <c r="I174" s="85"/>
      <c r="J174" s="84" t="s">
        <v>707</v>
      </c>
      <c r="K174" s="84" t="s">
        <v>55</v>
      </c>
      <c r="L174" s="90">
        <v>0</v>
      </c>
      <c r="M174" s="96" t="s">
        <v>36</v>
      </c>
      <c r="N174" s="84"/>
      <c r="O174" s="107">
        <v>1304</v>
      </c>
      <c r="P174" s="58">
        <f>ROUND((O174*0.4),0)</f>
        <v>522</v>
      </c>
      <c r="Q174" s="84">
        <f t="shared" si="134"/>
        <v>1352</v>
      </c>
      <c r="R174" s="57">
        <v>41509</v>
      </c>
      <c r="S174" s="89">
        <v>4</v>
      </c>
      <c r="T174" s="89">
        <f t="shared" si="154"/>
        <v>70</v>
      </c>
      <c r="U174" s="87" t="str">
        <f>IF(V174=1,$AD$2,IF(V174=2,$AD$1,IF(AND(V174&lt;&gt;1,V174&lt;&gt;20)=TRUE,$AD$3)))</f>
        <v>PAYPAL</v>
      </c>
      <c r="V174" s="97">
        <v>2</v>
      </c>
      <c r="W174" s="90" t="s">
        <v>714</v>
      </c>
      <c r="X174" s="89">
        <f t="shared" si="137"/>
        <v>1874</v>
      </c>
      <c r="Y174" s="89"/>
      <c r="Z174" s="58">
        <f t="shared" si="138"/>
        <v>0</v>
      </c>
      <c r="AA174" s="58">
        <f t="shared" si="139"/>
        <v>130</v>
      </c>
      <c r="AB174" s="58"/>
      <c r="AC174" s="98">
        <f t="shared" si="140"/>
        <v>1244</v>
      </c>
      <c r="AD174" s="58"/>
      <c r="AE174" s="58">
        <f t="shared" si="141"/>
        <v>30</v>
      </c>
      <c r="AF174" s="58">
        <f>IF(AG174&gt;0,AG65:AG174,0)</f>
        <v>1214</v>
      </c>
      <c r="AG174" s="58">
        <f t="shared" si="142"/>
        <v>1214</v>
      </c>
      <c r="AI174">
        <f t="shared" si="143"/>
        <v>0</v>
      </c>
      <c r="AJ174">
        <f t="shared" si="144"/>
        <v>0</v>
      </c>
      <c r="AK174">
        <f t="shared" si="145"/>
        <v>0</v>
      </c>
      <c r="AL174">
        <f t="shared" si="146"/>
        <v>1234</v>
      </c>
      <c r="AN174">
        <f t="shared" si="147"/>
        <v>0</v>
      </c>
      <c r="AO174">
        <f t="shared" si="148"/>
        <v>0</v>
      </c>
      <c r="AP174">
        <f t="shared" si="149"/>
        <v>0</v>
      </c>
      <c r="AQ174">
        <f t="shared" si="150"/>
        <v>1234</v>
      </c>
    </row>
    <row r="175" spans="2:43" ht="15.6" x14ac:dyDescent="0.3">
      <c r="B175" s="185" t="s">
        <v>585</v>
      </c>
      <c r="C175" t="s">
        <v>693</v>
      </c>
      <c r="D175" s="84" t="s">
        <v>61</v>
      </c>
      <c r="E175" s="84">
        <f>IF(D175=$B$12,H175,0)</f>
        <v>0</v>
      </c>
      <c r="F175" s="84">
        <f t="shared" si="132"/>
        <v>1</v>
      </c>
      <c r="G175" s="84" t="s">
        <v>631</v>
      </c>
      <c r="H175" s="85">
        <v>14</v>
      </c>
      <c r="I175" s="85"/>
      <c r="J175" s="84" t="s">
        <v>35</v>
      </c>
      <c r="K175" s="84" t="s">
        <v>55</v>
      </c>
      <c r="L175" s="90">
        <v>0</v>
      </c>
      <c r="M175" s="96" t="s">
        <v>36</v>
      </c>
      <c r="N175" s="84"/>
      <c r="O175" s="107">
        <v>2805</v>
      </c>
      <c r="P175" s="58">
        <f>ROUND((O175*0.4),0)</f>
        <v>1122</v>
      </c>
      <c r="Q175" s="84">
        <f t="shared" si="134"/>
        <v>2312</v>
      </c>
      <c r="R175" s="57">
        <v>41509</v>
      </c>
      <c r="S175" s="89">
        <v>4</v>
      </c>
      <c r="T175" s="89">
        <f t="shared" si="154"/>
        <v>129</v>
      </c>
      <c r="U175" s="87" t="str">
        <f>IF(V175=1,$AD$2,IF(V175=2,$AD$1,IF(AND(V175&lt;&gt;1,V175&lt;&gt;20)=TRUE,$AD$3)))</f>
        <v>PAYPAL</v>
      </c>
      <c r="V175" s="97">
        <v>2</v>
      </c>
      <c r="W175" s="194" t="s">
        <v>716</v>
      </c>
      <c r="X175" s="89">
        <f t="shared" si="137"/>
        <v>3434</v>
      </c>
      <c r="Y175" s="89"/>
      <c r="Z175" s="58">
        <f t="shared" si="138"/>
        <v>0</v>
      </c>
      <c r="AA175" s="58">
        <f t="shared" si="139"/>
        <v>130</v>
      </c>
      <c r="AB175" s="58"/>
      <c r="AC175" s="98">
        <f t="shared" si="140"/>
        <v>2804</v>
      </c>
      <c r="AD175" s="58"/>
      <c r="AE175" s="58">
        <f t="shared" si="141"/>
        <v>30</v>
      </c>
      <c r="AF175" s="58">
        <f>IF(AG175&gt;0,AG66:AG175,0)</f>
        <v>2774</v>
      </c>
      <c r="AG175" s="58">
        <f t="shared" si="142"/>
        <v>2774</v>
      </c>
      <c r="AI175">
        <f t="shared" si="143"/>
        <v>0</v>
      </c>
      <c r="AJ175">
        <f t="shared" si="144"/>
        <v>0</v>
      </c>
      <c r="AK175">
        <f t="shared" si="145"/>
        <v>0</v>
      </c>
      <c r="AL175">
        <f t="shared" si="146"/>
        <v>2676</v>
      </c>
      <c r="AN175">
        <f t="shared" si="147"/>
        <v>0</v>
      </c>
      <c r="AO175">
        <f t="shared" si="148"/>
        <v>0</v>
      </c>
      <c r="AP175">
        <f t="shared" si="149"/>
        <v>0</v>
      </c>
      <c r="AQ175">
        <f t="shared" si="150"/>
        <v>2676</v>
      </c>
    </row>
    <row r="176" spans="2:43" x14ac:dyDescent="0.3">
      <c r="B176" s="86" t="s">
        <v>715</v>
      </c>
      <c r="C176" t="s">
        <v>633</v>
      </c>
      <c r="D176" s="85" t="s">
        <v>370</v>
      </c>
      <c r="E176" s="84">
        <f t="shared" si="151"/>
        <v>0</v>
      </c>
      <c r="F176" s="84">
        <f t="shared" si="132"/>
        <v>1</v>
      </c>
      <c r="G176" s="148" t="s">
        <v>632</v>
      </c>
      <c r="H176" s="85">
        <v>8</v>
      </c>
      <c r="I176" s="85"/>
      <c r="J176" s="84" t="s">
        <v>401</v>
      </c>
      <c r="K176" s="84" t="s">
        <v>55</v>
      </c>
      <c r="L176" s="90">
        <v>0</v>
      </c>
      <c r="M176" s="96" t="s">
        <v>36</v>
      </c>
      <c r="N176" s="84"/>
      <c r="O176" s="107">
        <v>1685</v>
      </c>
      <c r="P176" s="58">
        <f t="shared" si="152"/>
        <v>674</v>
      </c>
      <c r="Q176" s="84">
        <f t="shared" si="134"/>
        <v>1596</v>
      </c>
      <c r="R176" s="57">
        <v>41890</v>
      </c>
      <c r="S176" s="89">
        <v>4</v>
      </c>
      <c r="T176" s="89">
        <f t="shared" si="154"/>
        <v>85</v>
      </c>
      <c r="U176" s="87" t="str">
        <f t="shared" si="153"/>
        <v>PAYPAL</v>
      </c>
      <c r="V176" s="97">
        <v>2</v>
      </c>
      <c r="W176" s="90" t="s">
        <v>163</v>
      </c>
      <c r="X176" s="89">
        <f t="shared" si="137"/>
        <v>2270</v>
      </c>
      <c r="Y176" s="89"/>
      <c r="Z176" s="58">
        <f t="shared" si="138"/>
        <v>0</v>
      </c>
      <c r="AA176" s="58">
        <f t="shared" si="139"/>
        <v>130</v>
      </c>
      <c r="AB176" s="58"/>
      <c r="AC176" s="98">
        <f t="shared" si="140"/>
        <v>1640</v>
      </c>
      <c r="AD176" s="58"/>
      <c r="AE176" s="58">
        <f t="shared" si="141"/>
        <v>30</v>
      </c>
      <c r="AF176" s="58">
        <f>IF(AG176&gt;0,AG90:AG176,0)</f>
        <v>1610</v>
      </c>
      <c r="AG176" s="58">
        <f t="shared" si="142"/>
        <v>1610</v>
      </c>
      <c r="AI176">
        <f t="shared" si="143"/>
        <v>0</v>
      </c>
      <c r="AJ176">
        <f t="shared" si="144"/>
        <v>0</v>
      </c>
      <c r="AK176">
        <f t="shared" si="145"/>
        <v>0</v>
      </c>
      <c r="AL176">
        <f t="shared" si="146"/>
        <v>1600</v>
      </c>
      <c r="AN176">
        <f t="shared" si="147"/>
        <v>0</v>
      </c>
      <c r="AO176">
        <f t="shared" si="148"/>
        <v>0</v>
      </c>
      <c r="AP176">
        <f t="shared" si="149"/>
        <v>0</v>
      </c>
      <c r="AQ176">
        <f t="shared" si="150"/>
        <v>1600</v>
      </c>
    </row>
    <row r="177" spans="1:44" x14ac:dyDescent="0.3">
      <c r="B177" s="148" t="s">
        <v>702</v>
      </c>
      <c r="C177" t="s">
        <v>701</v>
      </c>
      <c r="D177" s="85" t="s">
        <v>30</v>
      </c>
      <c r="E177" s="84">
        <f>IF(D177=$B$12,H177,0)</f>
        <v>0</v>
      </c>
      <c r="F177" s="84">
        <f t="shared" si="132"/>
        <v>1</v>
      </c>
      <c r="G177" s="84" t="s">
        <v>703</v>
      </c>
      <c r="H177" s="85">
        <v>7</v>
      </c>
      <c r="I177" s="85"/>
      <c r="J177" s="84" t="s">
        <v>103</v>
      </c>
      <c r="K177" s="84" t="s">
        <v>55</v>
      </c>
      <c r="L177" s="90">
        <v>0</v>
      </c>
      <c r="M177" s="96" t="s">
        <v>36</v>
      </c>
      <c r="N177" s="84"/>
      <c r="O177" s="107">
        <v>1557</v>
      </c>
      <c r="P177" s="58">
        <f t="shared" si="152"/>
        <v>623</v>
      </c>
      <c r="Q177" s="84">
        <f t="shared" si="134"/>
        <v>1514</v>
      </c>
      <c r="R177" s="196">
        <v>41537</v>
      </c>
      <c r="S177" s="89">
        <v>4</v>
      </c>
      <c r="T177" s="89">
        <f t="shared" si="154"/>
        <v>80</v>
      </c>
      <c r="U177" s="87" t="str">
        <f t="shared" si="153"/>
        <v>PAYPAL</v>
      </c>
      <c r="V177" s="97">
        <v>2</v>
      </c>
      <c r="W177" s="90" t="s">
        <v>162</v>
      </c>
      <c r="X177" s="89">
        <f t="shared" si="137"/>
        <v>2137</v>
      </c>
      <c r="Y177" s="89"/>
      <c r="Z177" s="58">
        <f t="shared" si="138"/>
        <v>0</v>
      </c>
      <c r="AA177" s="58">
        <f t="shared" si="139"/>
        <v>130</v>
      </c>
      <c r="AB177" s="58"/>
      <c r="AC177" s="98">
        <f t="shared" si="140"/>
        <v>1507</v>
      </c>
      <c r="AD177" s="58"/>
      <c r="AE177" s="58">
        <f t="shared" si="141"/>
        <v>30</v>
      </c>
      <c r="AF177" s="58">
        <f>IF(AG177&gt;0,AG68:AG177,0)</f>
        <v>1477</v>
      </c>
      <c r="AG177" s="58">
        <f t="shared" si="142"/>
        <v>1477</v>
      </c>
      <c r="AI177">
        <f t="shared" si="143"/>
        <v>0</v>
      </c>
      <c r="AJ177">
        <f t="shared" si="144"/>
        <v>0</v>
      </c>
      <c r="AK177">
        <f t="shared" si="145"/>
        <v>0</v>
      </c>
      <c r="AL177">
        <f t="shared" si="146"/>
        <v>1477</v>
      </c>
      <c r="AN177">
        <f t="shared" si="147"/>
        <v>0</v>
      </c>
      <c r="AO177">
        <f t="shared" si="148"/>
        <v>0</v>
      </c>
      <c r="AP177">
        <f t="shared" si="149"/>
        <v>0</v>
      </c>
      <c r="AQ177">
        <f t="shared" si="150"/>
        <v>1477</v>
      </c>
    </row>
    <row r="178" spans="1:44" x14ac:dyDescent="0.3">
      <c r="B178" s="103" t="s">
        <v>82</v>
      </c>
      <c r="C178" s="86" t="s">
        <v>438</v>
      </c>
      <c r="D178" s="85" t="s">
        <v>42</v>
      </c>
      <c r="E178" s="84">
        <f>IF(D178=$B$12,H178,0)</f>
        <v>5</v>
      </c>
      <c r="F178" s="84">
        <f t="shared" si="132"/>
        <v>0</v>
      </c>
      <c r="G178" s="105" t="s">
        <v>617</v>
      </c>
      <c r="H178" s="85">
        <v>5</v>
      </c>
      <c r="I178" s="85"/>
      <c r="J178" s="84" t="s">
        <v>63</v>
      </c>
      <c r="K178" s="84" t="s">
        <v>55</v>
      </c>
      <c r="L178" s="90">
        <v>3</v>
      </c>
      <c r="M178" s="96" t="s">
        <v>36</v>
      </c>
      <c r="N178" s="84"/>
      <c r="O178" s="107">
        <v>0</v>
      </c>
      <c r="P178" s="58">
        <f>ROUND((O178*0.4),0)</f>
        <v>0</v>
      </c>
      <c r="Q178" s="84">
        <f t="shared" si="134"/>
        <v>0</v>
      </c>
      <c r="R178" s="57"/>
      <c r="S178" s="89">
        <v>4</v>
      </c>
      <c r="T178" s="89">
        <f t="shared" si="154"/>
        <v>0</v>
      </c>
      <c r="U178" s="87" t="str">
        <f>IF(V178=1,$AD$2,IF(V178=2,$AD$1,IF(AND(V178&lt;&gt;1,V178&lt;&gt;20)=TRUE,$AD$3)))</f>
        <v>NONE</v>
      </c>
      <c r="V178" s="97"/>
      <c r="W178" s="90"/>
      <c r="X178" s="89">
        <f t="shared" si="137"/>
        <v>0</v>
      </c>
      <c r="Y178" s="89"/>
      <c r="Z178" s="58">
        <f t="shared" si="138"/>
        <v>0</v>
      </c>
      <c r="AA178" s="58">
        <f t="shared" si="139"/>
        <v>130</v>
      </c>
      <c r="AB178" s="58"/>
      <c r="AC178" s="98">
        <f t="shared" si="140"/>
        <v>-130</v>
      </c>
      <c r="AD178" s="58"/>
      <c r="AE178" s="58">
        <f t="shared" si="141"/>
        <v>0</v>
      </c>
      <c r="AF178" s="58">
        <f>IF(AG178&gt;0,AG92:AG178,0)</f>
        <v>0</v>
      </c>
      <c r="AG178" s="58">
        <f t="shared" si="142"/>
        <v>-130</v>
      </c>
      <c r="AI178">
        <f t="shared" si="143"/>
        <v>0</v>
      </c>
      <c r="AJ178">
        <f t="shared" si="144"/>
        <v>0</v>
      </c>
      <c r="AK178">
        <f t="shared" si="145"/>
        <v>0</v>
      </c>
      <c r="AL178">
        <f t="shared" si="146"/>
        <v>0</v>
      </c>
      <c r="AN178">
        <f t="shared" si="147"/>
        <v>0</v>
      </c>
      <c r="AO178">
        <f t="shared" si="148"/>
        <v>0</v>
      </c>
      <c r="AP178">
        <f t="shared" si="149"/>
        <v>0</v>
      </c>
      <c r="AQ178">
        <f t="shared" si="150"/>
        <v>0</v>
      </c>
    </row>
    <row r="179" spans="1:44" x14ac:dyDescent="0.3">
      <c r="B179" s="8" t="s">
        <v>629</v>
      </c>
      <c r="C179" t="s">
        <v>578</v>
      </c>
      <c r="D179" s="85" t="s">
        <v>370</v>
      </c>
      <c r="E179" s="84">
        <f>IF(D179=$B$12,H179,0)</f>
        <v>0</v>
      </c>
      <c r="F179" s="84">
        <f t="shared" si="132"/>
        <v>1</v>
      </c>
      <c r="G179" s="202" t="s">
        <v>628</v>
      </c>
      <c r="H179" s="85">
        <v>7</v>
      </c>
      <c r="I179" s="85"/>
      <c r="J179" s="84" t="s">
        <v>630</v>
      </c>
      <c r="K179" s="84" t="s">
        <v>55</v>
      </c>
      <c r="L179" s="90">
        <v>0</v>
      </c>
      <c r="M179" s="96" t="s">
        <v>36</v>
      </c>
      <c r="N179" s="84"/>
      <c r="O179" s="107">
        <v>1498</v>
      </c>
      <c r="P179" s="58">
        <f>ROUND((O179*0.4),0)</f>
        <v>599</v>
      </c>
      <c r="Q179" s="84">
        <f t="shared" si="134"/>
        <v>1477</v>
      </c>
      <c r="R179" s="57">
        <v>41917</v>
      </c>
      <c r="S179" s="89">
        <v>4</v>
      </c>
      <c r="T179" s="89">
        <f t="shared" si="154"/>
        <v>78</v>
      </c>
      <c r="U179" s="87" t="str">
        <f>IF(V179=1,$AD$2,IF(V179=2,$AD$1,IF(AND(V179&lt;&gt;1,V179&lt;&gt;20)=TRUE,$AD$3)))</f>
        <v>PAYPAL</v>
      </c>
      <c r="V179" s="97">
        <v>2</v>
      </c>
      <c r="W179" s="90" t="s">
        <v>709</v>
      </c>
      <c r="X179" s="89">
        <f t="shared" si="137"/>
        <v>2076</v>
      </c>
      <c r="Y179" s="89"/>
      <c r="Z179" s="58">
        <f t="shared" si="138"/>
        <v>0</v>
      </c>
      <c r="AA179" s="58">
        <f t="shared" si="139"/>
        <v>130</v>
      </c>
      <c r="AB179" s="58"/>
      <c r="AC179" s="98">
        <f t="shared" si="140"/>
        <v>1446</v>
      </c>
      <c r="AD179" s="58"/>
      <c r="AE179" s="58">
        <f t="shared" si="141"/>
        <v>30</v>
      </c>
      <c r="AF179" s="58">
        <f>IF(AG179&gt;0,AG93:AG179,0)</f>
        <v>1416</v>
      </c>
      <c r="AG179" s="58">
        <f t="shared" si="142"/>
        <v>1416</v>
      </c>
      <c r="AI179">
        <f t="shared" si="143"/>
        <v>0</v>
      </c>
      <c r="AJ179">
        <f t="shared" si="144"/>
        <v>0</v>
      </c>
      <c r="AK179">
        <f t="shared" si="145"/>
        <v>0</v>
      </c>
      <c r="AL179">
        <f t="shared" si="146"/>
        <v>1420</v>
      </c>
      <c r="AN179">
        <f t="shared" si="147"/>
        <v>0</v>
      </c>
      <c r="AO179">
        <f t="shared" si="148"/>
        <v>0</v>
      </c>
      <c r="AP179">
        <f t="shared" si="149"/>
        <v>0</v>
      </c>
      <c r="AQ179">
        <f t="shared" si="150"/>
        <v>1420</v>
      </c>
    </row>
    <row r="180" spans="1:44" x14ac:dyDescent="0.3">
      <c r="B180" s="84" t="s">
        <v>407</v>
      </c>
      <c r="C180" s="84" t="s">
        <v>408</v>
      </c>
      <c r="D180" s="84" t="s">
        <v>30</v>
      </c>
      <c r="E180" s="84">
        <f>IF(D180=$B$12,H180,0)</f>
        <v>0</v>
      </c>
      <c r="F180" s="84">
        <f t="shared" si="132"/>
        <v>1</v>
      </c>
      <c r="G180" s="115" t="s">
        <v>720</v>
      </c>
      <c r="H180" s="85">
        <v>7</v>
      </c>
      <c r="I180" s="85"/>
      <c r="J180" s="84" t="s">
        <v>615</v>
      </c>
      <c r="K180" s="84" t="s">
        <v>55</v>
      </c>
      <c r="L180" s="90">
        <v>0</v>
      </c>
      <c r="M180" s="96" t="s">
        <v>36</v>
      </c>
      <c r="N180" s="84"/>
      <c r="O180" s="107">
        <v>1351</v>
      </c>
      <c r="P180" s="156">
        <f>ROUND((O180*0.4),0)</f>
        <v>540</v>
      </c>
      <c r="Q180" s="84">
        <f t="shared" si="134"/>
        <v>1383</v>
      </c>
      <c r="R180" s="57">
        <v>41924</v>
      </c>
      <c r="S180" s="89">
        <v>4</v>
      </c>
      <c r="T180" s="89">
        <f t="shared" si="154"/>
        <v>72</v>
      </c>
      <c r="U180" s="87" t="str">
        <f>IF(V180=1,$AD$2,IF(V180=2,$AD$1,IF(AND(V180&lt;&gt;1,V180&lt;&gt;20)=TRUE,$AD$3)))</f>
        <v>PAYPAL</v>
      </c>
      <c r="V180" s="97">
        <v>2</v>
      </c>
      <c r="W180" s="90" t="s">
        <v>162</v>
      </c>
      <c r="X180" s="89">
        <f t="shared" si="137"/>
        <v>1923</v>
      </c>
      <c r="Y180" s="89"/>
      <c r="Z180" s="58">
        <f t="shared" si="138"/>
        <v>0</v>
      </c>
      <c r="AA180" s="58">
        <f t="shared" si="139"/>
        <v>130</v>
      </c>
      <c r="AB180" s="58"/>
      <c r="AC180" s="98">
        <f t="shared" si="140"/>
        <v>1293</v>
      </c>
      <c r="AD180" s="58"/>
      <c r="AE180" s="58">
        <f t="shared" si="141"/>
        <v>30</v>
      </c>
      <c r="AF180" s="58">
        <f>IF(AG180&gt;0,AG87:AG180,0)</f>
        <v>1263</v>
      </c>
      <c r="AG180" s="58">
        <f t="shared" si="142"/>
        <v>1263</v>
      </c>
      <c r="AI180">
        <f t="shared" si="143"/>
        <v>0</v>
      </c>
      <c r="AJ180">
        <f t="shared" si="144"/>
        <v>0</v>
      </c>
      <c r="AK180">
        <f t="shared" si="145"/>
        <v>0</v>
      </c>
      <c r="AL180">
        <f t="shared" si="146"/>
        <v>1279</v>
      </c>
      <c r="AN180">
        <f t="shared" si="147"/>
        <v>0</v>
      </c>
      <c r="AO180">
        <f t="shared" si="148"/>
        <v>0</v>
      </c>
      <c r="AP180">
        <f t="shared" si="149"/>
        <v>0</v>
      </c>
      <c r="AQ180">
        <f t="shared" si="150"/>
        <v>1279</v>
      </c>
    </row>
    <row r="181" spans="1:44" x14ac:dyDescent="0.3">
      <c r="B181" s="86" t="s">
        <v>626</v>
      </c>
      <c r="C181" t="s">
        <v>711</v>
      </c>
      <c r="D181" s="85" t="s">
        <v>616</v>
      </c>
      <c r="E181" s="84">
        <f>IF(D181=$B$12,H181,0)</f>
        <v>0</v>
      </c>
      <c r="F181" s="84">
        <f t="shared" si="132"/>
        <v>1</v>
      </c>
      <c r="G181" s="148" t="s">
        <v>627</v>
      </c>
      <c r="H181" s="85">
        <v>6</v>
      </c>
      <c r="I181" s="85"/>
      <c r="J181" s="84" t="s">
        <v>712</v>
      </c>
      <c r="K181" s="84" t="s">
        <v>55</v>
      </c>
      <c r="L181" s="90">
        <v>0</v>
      </c>
      <c r="M181" s="96" t="s">
        <v>36</v>
      </c>
      <c r="N181" s="84"/>
      <c r="O181" s="107">
        <v>1463</v>
      </c>
      <c r="P181" s="58">
        <f>ROUND((O181*0.4),0)</f>
        <v>585</v>
      </c>
      <c r="Q181" s="84">
        <f t="shared" si="134"/>
        <v>1455</v>
      </c>
      <c r="R181" s="57">
        <v>41934</v>
      </c>
      <c r="S181" s="89">
        <v>4</v>
      </c>
      <c r="T181" s="89">
        <f t="shared" si="154"/>
        <v>77</v>
      </c>
      <c r="U181" s="87" t="str">
        <f>IF(V181=1,$AD$2,IF(V181=2,$AD$1,IF(AND(V181&lt;&gt;1,V181&lt;&gt;20)=TRUE,$AD$3)))</f>
        <v>PAYPAL</v>
      </c>
      <c r="V181" s="97">
        <v>2</v>
      </c>
      <c r="W181" s="194" t="s">
        <v>722</v>
      </c>
      <c r="X181" s="89">
        <f t="shared" si="137"/>
        <v>2040</v>
      </c>
      <c r="Y181" s="89"/>
      <c r="Z181" s="58">
        <f t="shared" si="138"/>
        <v>0</v>
      </c>
      <c r="AA181" s="58">
        <f t="shared" si="139"/>
        <v>130</v>
      </c>
      <c r="AB181" s="58"/>
      <c r="AC181" s="98">
        <f t="shared" si="140"/>
        <v>1410</v>
      </c>
      <c r="AD181" s="58"/>
      <c r="AE181" s="58">
        <f t="shared" si="141"/>
        <v>30</v>
      </c>
      <c r="AF181" s="58">
        <f>IF(AG181&gt;0,AG94:AG181,0)</f>
        <v>1380</v>
      </c>
      <c r="AG181" s="58">
        <f t="shared" si="142"/>
        <v>1380</v>
      </c>
      <c r="AI181">
        <f t="shared" si="143"/>
        <v>0</v>
      </c>
      <c r="AJ181">
        <f t="shared" si="144"/>
        <v>0</v>
      </c>
      <c r="AK181">
        <f t="shared" si="145"/>
        <v>0</v>
      </c>
      <c r="AL181">
        <f t="shared" si="146"/>
        <v>1386</v>
      </c>
      <c r="AN181">
        <f t="shared" si="147"/>
        <v>0</v>
      </c>
      <c r="AO181">
        <f t="shared" si="148"/>
        <v>0</v>
      </c>
      <c r="AP181">
        <f t="shared" si="149"/>
        <v>0</v>
      </c>
      <c r="AQ181">
        <f t="shared" si="150"/>
        <v>1386</v>
      </c>
    </row>
    <row r="182" spans="1:44" x14ac:dyDescent="0.3">
      <c r="B182" s="103" t="s">
        <v>82</v>
      </c>
      <c r="C182" s="86" t="s">
        <v>438</v>
      </c>
      <c r="D182" s="85" t="s">
        <v>42</v>
      </c>
      <c r="E182" s="84">
        <f t="shared" si="151"/>
        <v>4</v>
      </c>
      <c r="F182" s="84">
        <f t="shared" si="132"/>
        <v>0</v>
      </c>
      <c r="G182" s="108" t="s">
        <v>668</v>
      </c>
      <c r="H182" s="85">
        <v>4</v>
      </c>
      <c r="I182" s="85"/>
      <c r="J182" s="84" t="s">
        <v>63</v>
      </c>
      <c r="K182" s="84" t="s">
        <v>55</v>
      </c>
      <c r="L182" s="90">
        <v>3</v>
      </c>
      <c r="M182" s="96" t="s">
        <v>36</v>
      </c>
      <c r="N182" s="84"/>
      <c r="O182" s="107">
        <v>0</v>
      </c>
      <c r="P182" s="58">
        <f t="shared" si="152"/>
        <v>0</v>
      </c>
      <c r="Q182" s="84">
        <f t="shared" si="134"/>
        <v>0</v>
      </c>
      <c r="R182" s="57"/>
      <c r="S182" s="89">
        <v>4</v>
      </c>
      <c r="T182" s="89">
        <f t="shared" si="154"/>
        <v>0</v>
      </c>
      <c r="U182" s="87" t="str">
        <f t="shared" si="153"/>
        <v>NONE</v>
      </c>
      <c r="V182" s="97"/>
      <c r="W182" s="90"/>
      <c r="X182" s="89">
        <f t="shared" si="137"/>
        <v>0</v>
      </c>
      <c r="Y182" s="89"/>
      <c r="Z182" s="58">
        <f t="shared" si="138"/>
        <v>0</v>
      </c>
      <c r="AA182" s="58">
        <f t="shared" si="139"/>
        <v>130</v>
      </c>
      <c r="AB182" s="58"/>
      <c r="AC182" s="98">
        <f t="shared" si="140"/>
        <v>-130</v>
      </c>
      <c r="AD182" s="58"/>
      <c r="AE182" s="58">
        <f t="shared" si="141"/>
        <v>0</v>
      </c>
      <c r="AF182" s="58">
        <f>IF(AG182&gt;0,AG90:AG182,0)</f>
        <v>0</v>
      </c>
      <c r="AG182" s="58">
        <f t="shared" si="142"/>
        <v>-130</v>
      </c>
      <c r="AI182">
        <f t="shared" si="143"/>
        <v>0</v>
      </c>
      <c r="AJ182">
        <f t="shared" si="144"/>
        <v>0</v>
      </c>
      <c r="AK182">
        <f t="shared" si="145"/>
        <v>0</v>
      </c>
      <c r="AL182">
        <f t="shared" si="146"/>
        <v>0</v>
      </c>
      <c r="AN182">
        <f t="shared" si="147"/>
        <v>0</v>
      </c>
      <c r="AO182">
        <f t="shared" si="148"/>
        <v>0</v>
      </c>
      <c r="AP182">
        <f t="shared" si="149"/>
        <v>0</v>
      </c>
      <c r="AQ182">
        <f t="shared" si="150"/>
        <v>0</v>
      </c>
    </row>
    <row r="183" spans="1:44" x14ac:dyDescent="0.3">
      <c r="B183" s="84"/>
      <c r="D183" s="84"/>
      <c r="E183" s="84">
        <f t="shared" si="151"/>
        <v>0</v>
      </c>
      <c r="F183" s="84">
        <f t="shared" si="132"/>
        <v>1</v>
      </c>
      <c r="G183" s="84"/>
      <c r="H183" s="85"/>
      <c r="I183" s="85"/>
      <c r="J183" s="84"/>
      <c r="K183" s="84"/>
      <c r="L183" s="90"/>
      <c r="M183" s="96"/>
      <c r="N183" s="84"/>
      <c r="O183" s="107"/>
      <c r="P183" s="156">
        <f t="shared" si="152"/>
        <v>0</v>
      </c>
      <c r="Q183" s="84">
        <f t="shared" si="134"/>
        <v>0</v>
      </c>
      <c r="R183" s="57"/>
      <c r="S183" s="89"/>
      <c r="T183" s="89">
        <f t="shared" si="154"/>
        <v>0</v>
      </c>
      <c r="U183" s="87" t="str">
        <f t="shared" si="153"/>
        <v>NONE</v>
      </c>
      <c r="V183" s="97"/>
      <c r="W183" s="90"/>
      <c r="X183" s="89">
        <f t="shared" si="137"/>
        <v>0</v>
      </c>
      <c r="Y183" s="89"/>
      <c r="Z183" s="58">
        <f t="shared" si="138"/>
        <v>0</v>
      </c>
      <c r="AA183" s="58">
        <f t="shared" si="139"/>
        <v>0</v>
      </c>
      <c r="AB183" s="58"/>
      <c r="AC183" s="98">
        <f t="shared" si="140"/>
        <v>0</v>
      </c>
      <c r="AD183" s="58"/>
      <c r="AE183" s="58">
        <f t="shared" si="141"/>
        <v>0</v>
      </c>
      <c r="AF183" s="58">
        <f>IF(AG183&gt;0,AG89:AG183,0)</f>
        <v>0</v>
      </c>
      <c r="AG183" s="58">
        <f t="shared" si="142"/>
        <v>0</v>
      </c>
      <c r="AI183">
        <f t="shared" si="143"/>
        <v>0</v>
      </c>
      <c r="AJ183">
        <f t="shared" si="144"/>
        <v>0</v>
      </c>
      <c r="AK183">
        <f t="shared" si="145"/>
        <v>0</v>
      </c>
      <c r="AL183">
        <f t="shared" si="146"/>
        <v>0</v>
      </c>
      <c r="AN183">
        <f t="shared" si="147"/>
        <v>0</v>
      </c>
      <c r="AO183">
        <f t="shared" si="148"/>
        <v>0</v>
      </c>
      <c r="AP183">
        <f t="shared" si="149"/>
        <v>0</v>
      </c>
      <c r="AQ183">
        <f t="shared" si="150"/>
        <v>0</v>
      </c>
    </row>
    <row r="184" spans="1:44" x14ac:dyDescent="0.3">
      <c r="A184" s="45"/>
      <c r="B184" s="192">
        <f>COUNTIFS(D144:D183,"&lt;&gt;NA")-COUNTIFS(D144:D183,"="&amp;D1)</f>
        <v>25</v>
      </c>
      <c r="C184" s="174" t="s">
        <v>472</v>
      </c>
      <c r="D184" s="46">
        <f>SUM(E144:E183)</f>
        <v>119</v>
      </c>
      <c r="E184" s="46"/>
      <c r="F184" s="46"/>
      <c r="G184" s="63" t="s">
        <v>215</v>
      </c>
      <c r="H184" s="62">
        <f>SUM(H143:H183)-SUM(E144:E183)</f>
        <v>223</v>
      </c>
      <c r="I184" s="62"/>
      <c r="J184" s="61">
        <f>ROUND(H184/7,0)</f>
        <v>32</v>
      </c>
      <c r="K184" s="61" t="s">
        <v>214</v>
      </c>
      <c r="L184" s="63" t="s">
        <v>216</v>
      </c>
      <c r="M184" s="151">
        <f>ROUND(AF184/J184,0)</f>
        <v>1386</v>
      </c>
      <c r="N184" s="45"/>
      <c r="O184" s="82">
        <f>SUM(O144:O183)</f>
        <v>46167</v>
      </c>
      <c r="P184" s="49"/>
      <c r="Q184" s="80">
        <f>Z184</f>
        <v>0</v>
      </c>
      <c r="R184" s="79" t="s">
        <v>254</v>
      </c>
      <c r="S184" s="126"/>
      <c r="T184" s="73"/>
      <c r="U184" s="48"/>
      <c r="V184" s="48"/>
      <c r="W184" s="47"/>
      <c r="X184" s="49"/>
      <c r="Y184" s="49">
        <f>Z184</f>
        <v>0</v>
      </c>
      <c r="Z184" s="49">
        <f>SUM(Z144:Z183)</f>
        <v>0</v>
      </c>
      <c r="AA184" s="49">
        <f>SUM(AA144:AA183)</f>
        <v>5070</v>
      </c>
      <c r="AB184" s="49">
        <f>AA184</f>
        <v>5070</v>
      </c>
      <c r="AC184" s="45"/>
      <c r="AD184" s="49"/>
      <c r="AE184" s="49">
        <f>SUM(AE144:AE183)</f>
        <v>780</v>
      </c>
      <c r="AF184" s="49">
        <f>SUM(AF144:AF183)</f>
        <v>44348</v>
      </c>
      <c r="AG184" s="82">
        <f>SUM(AG144:AG183)</f>
        <v>42498</v>
      </c>
      <c r="AH184" s="45">
        <f>AG184</f>
        <v>42498</v>
      </c>
      <c r="AI184" s="129">
        <f>SUM(AI144:AI183)</f>
        <v>6987</v>
      </c>
      <c r="AJ184" s="129">
        <f>SUM(AJ144:AJ183)</f>
        <v>14479</v>
      </c>
      <c r="AK184" s="129">
        <f>SUM(AK144:AK183)</f>
        <v>6606</v>
      </c>
      <c r="AL184" s="129">
        <f>SUM(AL144:AL183)</f>
        <v>13229</v>
      </c>
      <c r="AM184" s="131">
        <f>SUM(AI184:AL184)</f>
        <v>41301</v>
      </c>
      <c r="AN184" s="129">
        <f>SUM(AN144:AN183)</f>
        <v>6987</v>
      </c>
      <c r="AO184" s="129">
        <f>SUM(AO144:AO183)</f>
        <v>14479</v>
      </c>
      <c r="AP184" s="129">
        <f>SUM(AP144:AP183)</f>
        <v>6606</v>
      </c>
      <c r="AQ184" s="129">
        <f>SUM(AQ144:AQ183)</f>
        <v>13229</v>
      </c>
      <c r="AR184" s="131">
        <f>SUM(AN184:AQ184)</f>
        <v>41301</v>
      </c>
    </row>
    <row r="185" spans="1:44" ht="21" customHeight="1" x14ac:dyDescent="0.45">
      <c r="A185" s="130"/>
      <c r="B185" s="150">
        <v>2015</v>
      </c>
      <c r="C185" s="133"/>
      <c r="D185" s="132"/>
      <c r="E185" s="132"/>
      <c r="F185" s="132"/>
      <c r="G185" s="134"/>
      <c r="H185" s="135"/>
      <c r="I185" s="135"/>
      <c r="J185" s="136"/>
      <c r="K185" s="136"/>
      <c r="L185" s="134"/>
      <c r="M185" s="137"/>
      <c r="N185" s="130"/>
      <c r="O185" s="138"/>
      <c r="P185" s="139"/>
      <c r="Q185" s="140"/>
      <c r="R185" s="141"/>
      <c r="S185" s="142"/>
      <c r="T185" s="143"/>
      <c r="U185" s="144"/>
      <c r="V185" s="144"/>
      <c r="W185" s="145"/>
      <c r="X185" s="139"/>
      <c r="Y185" s="139"/>
      <c r="Z185" s="139"/>
      <c r="AA185" s="139"/>
      <c r="AB185" s="139"/>
      <c r="AC185" s="130"/>
      <c r="AD185" s="139"/>
      <c r="AE185" s="139"/>
      <c r="AF185" s="139"/>
      <c r="AG185" s="138"/>
      <c r="AH185" s="45"/>
      <c r="AI185" s="119">
        <f>ROUNDUP(AI184*0.04,0)</f>
        <v>280</v>
      </c>
      <c r="AJ185" s="119">
        <f>ROUNDUP(AJ184*0.04,0)</f>
        <v>580</v>
      </c>
      <c r="AK185" s="119">
        <f>ROUNDUP(AK184*0.04,0)</f>
        <v>265</v>
      </c>
      <c r="AL185" s="119">
        <f>ROUNDUP(AL184*0.04,0)</f>
        <v>530</v>
      </c>
      <c r="AM185" s="131">
        <f>SUM(AI185:AL185)</f>
        <v>1655</v>
      </c>
      <c r="AN185" s="119">
        <f>ROUNDUP(AN184*0.06,0)</f>
        <v>420</v>
      </c>
      <c r="AO185" s="119">
        <f>ROUNDUP(AO184*0.06,0)</f>
        <v>869</v>
      </c>
      <c r="AP185" s="119">
        <f>ROUNDUP(AP184*0.06,0)</f>
        <v>397</v>
      </c>
      <c r="AQ185" s="119">
        <f>ROUNDUP(AQ184*0.06,0)</f>
        <v>794</v>
      </c>
      <c r="AR185" s="131">
        <f>SUM(AN185:AQ185)</f>
        <v>2480</v>
      </c>
    </row>
    <row r="186" spans="1:44" s="84" customFormat="1" x14ac:dyDescent="0.3">
      <c r="B186" s="103" t="s">
        <v>82</v>
      </c>
      <c r="C186" s="86" t="s">
        <v>42</v>
      </c>
      <c r="D186" s="84" t="s">
        <v>42</v>
      </c>
      <c r="E186" s="84">
        <f>IF(D186=$B$12,H186,0)</f>
        <v>58</v>
      </c>
      <c r="F186" s="84">
        <f t="shared" ref="F186:F206" si="155">IF(E186&gt;0,0,1)</f>
        <v>0</v>
      </c>
      <c r="G186" s="108" t="s">
        <v>674</v>
      </c>
      <c r="H186" s="148">
        <v>58</v>
      </c>
      <c r="I186" s="85"/>
      <c r="J186" s="84" t="s">
        <v>63</v>
      </c>
      <c r="K186" s="84" t="s">
        <v>55</v>
      </c>
      <c r="L186" s="90">
        <v>3</v>
      </c>
      <c r="M186" s="96" t="s">
        <v>36</v>
      </c>
      <c r="O186" s="107">
        <v>0</v>
      </c>
      <c r="P186" s="113">
        <f t="shared" ref="P186:P191" si="156">ROUND((O186*0.4),0)</f>
        <v>0</v>
      </c>
      <c r="Q186" s="84">
        <f t="shared" ref="Q186:Q199" si="157">IF(O186&gt;0,((O186+500)-P186)+T186,0)</f>
        <v>0</v>
      </c>
      <c r="R186" s="57"/>
      <c r="S186" s="89">
        <v>1</v>
      </c>
      <c r="T186" s="89">
        <f t="shared" ref="T186:T193" si="158">IF(U186=$AD$2,47,IF(U186=$AD$1,ROUND(((O186+500)*0.039),0),IF(U186=$AD$3,0)))</f>
        <v>0</v>
      </c>
      <c r="U186" s="87" t="str">
        <f t="shared" ref="U186:U206" si="159">IF(V186=1,$AD$2,IF(V186=2,$AD$1,IF(AND(V186&lt;&gt;1,V186&lt;&gt;20)=TRUE,$AD$3)))</f>
        <v>NONE</v>
      </c>
      <c r="V186" s="97"/>
      <c r="W186" s="90"/>
      <c r="X186" s="89">
        <f t="shared" ref="X186:X193" si="160">Q186+P186</f>
        <v>0</v>
      </c>
      <c r="Y186" s="89"/>
      <c r="Z186" s="58">
        <f t="shared" ref="Z186:Z206" si="161">IF(W186=$Z$1,Q186-500,0)</f>
        <v>0</v>
      </c>
      <c r="AA186" s="58">
        <f t="shared" ref="AA186:AA206" si="162">IF(H186&gt;0,130,0)</f>
        <v>130</v>
      </c>
      <c r="AB186" s="58"/>
      <c r="AC186" s="98">
        <f t="shared" ref="AC186:AC206" si="163">(O186+T186)-AA186</f>
        <v>-130</v>
      </c>
      <c r="AD186" s="58"/>
      <c r="AE186" s="58">
        <f t="shared" ref="AE186:AE206" si="164">IF(H186&gt;0,30*F186,0)</f>
        <v>0</v>
      </c>
      <c r="AF186" s="58">
        <f>IF(AG186&gt;0,AG98:AG186,0)</f>
        <v>0</v>
      </c>
      <c r="AG186" s="58">
        <f t="shared" ref="AG186:AG198" si="165">AC186-AE186</f>
        <v>-130</v>
      </c>
      <c r="AI186">
        <f t="shared" ref="AI186:AI198" si="166">IF(S186=1,O186-T186,0)</f>
        <v>0</v>
      </c>
      <c r="AJ186">
        <f t="shared" ref="AJ186:AJ198" si="167">IF(S186=2,O186-T186,0)</f>
        <v>0</v>
      </c>
      <c r="AK186">
        <f t="shared" ref="AK186:AK198" si="168">IF(S186=3,O186-T186,0)</f>
        <v>0</v>
      </c>
      <c r="AL186">
        <f t="shared" ref="AL186:AL198" si="169">IF(S186=4,O186-T186,0)</f>
        <v>0</v>
      </c>
      <c r="AM186"/>
      <c r="AN186">
        <f t="shared" ref="AN186:AN198" si="170">IF(S186=1,O186-T186,0)</f>
        <v>0</v>
      </c>
      <c r="AO186">
        <f t="shared" ref="AO186:AO198" si="171">IF(S186=2,O186-T186,0)</f>
        <v>0</v>
      </c>
      <c r="AP186">
        <f t="shared" ref="AP186:AP198" si="172">IF(S186=3,O186-T186,0)</f>
        <v>0</v>
      </c>
      <c r="AQ186">
        <f t="shared" ref="AQ186:AQ198" si="173">IF(S186=4,O186-T186,0)</f>
        <v>0</v>
      </c>
    </row>
    <row r="187" spans="1:44" x14ac:dyDescent="0.3">
      <c r="B187" s="103" t="s">
        <v>82</v>
      </c>
      <c r="C187" s="86" t="s">
        <v>42</v>
      </c>
      <c r="D187" s="84" t="s">
        <v>42</v>
      </c>
      <c r="E187" s="85">
        <f>IF(D187=$B$12,H187,0)</f>
        <v>0</v>
      </c>
      <c r="F187" s="85">
        <f t="shared" si="155"/>
        <v>1</v>
      </c>
      <c r="G187" s="85" t="s">
        <v>669</v>
      </c>
      <c r="H187" s="86">
        <v>0</v>
      </c>
      <c r="I187" s="85"/>
      <c r="J187" s="84"/>
      <c r="K187" s="84" t="s">
        <v>55</v>
      </c>
      <c r="L187" s="146">
        <v>3</v>
      </c>
      <c r="M187" s="96" t="s">
        <v>36</v>
      </c>
      <c r="N187" s="85"/>
      <c r="O187" s="107">
        <v>0</v>
      </c>
      <c r="P187" s="113">
        <f t="shared" si="156"/>
        <v>0</v>
      </c>
      <c r="Q187" s="85">
        <f t="shared" si="157"/>
        <v>0</v>
      </c>
      <c r="R187" s="153"/>
      <c r="S187" s="154">
        <v>1</v>
      </c>
      <c r="T187" s="154">
        <f t="shared" si="158"/>
        <v>0</v>
      </c>
      <c r="U187" s="87" t="str">
        <f t="shared" si="159"/>
        <v>NONE</v>
      </c>
      <c r="V187" s="97"/>
      <c r="W187" s="146"/>
      <c r="X187" s="89">
        <f t="shared" si="160"/>
        <v>0</v>
      </c>
      <c r="Y187" s="154"/>
      <c r="Z187" s="113">
        <f t="shared" si="161"/>
        <v>0</v>
      </c>
      <c r="AA187" s="113">
        <f t="shared" si="162"/>
        <v>0</v>
      </c>
      <c r="AB187" s="113"/>
      <c r="AC187" s="155">
        <f t="shared" si="163"/>
        <v>0</v>
      </c>
      <c r="AD187" s="113"/>
      <c r="AE187" s="113">
        <f t="shared" si="164"/>
        <v>0</v>
      </c>
      <c r="AF187" s="113">
        <f>IF(AG187&gt;0,AG82:AG187,0)</f>
        <v>0</v>
      </c>
      <c r="AG187" s="113">
        <f t="shared" si="165"/>
        <v>0</v>
      </c>
      <c r="AI187">
        <f t="shared" si="166"/>
        <v>0</v>
      </c>
      <c r="AJ187">
        <f t="shared" si="167"/>
        <v>0</v>
      </c>
      <c r="AK187">
        <f t="shared" si="168"/>
        <v>0</v>
      </c>
      <c r="AL187">
        <f t="shared" si="169"/>
        <v>0</v>
      </c>
      <c r="AN187">
        <f t="shared" si="170"/>
        <v>0</v>
      </c>
      <c r="AO187">
        <f t="shared" si="171"/>
        <v>0</v>
      </c>
      <c r="AP187">
        <f t="shared" si="172"/>
        <v>0</v>
      </c>
      <c r="AQ187">
        <f t="shared" si="173"/>
        <v>0</v>
      </c>
    </row>
    <row r="188" spans="1:44" x14ac:dyDescent="0.3">
      <c r="B188" s="103" t="s">
        <v>82</v>
      </c>
      <c r="C188" s="86" t="s">
        <v>42</v>
      </c>
      <c r="D188" s="84" t="s">
        <v>42</v>
      </c>
      <c r="E188" s="85">
        <f>IF(D188=$B$12,H188,0)</f>
        <v>0</v>
      </c>
      <c r="F188" s="85">
        <f t="shared" si="155"/>
        <v>1</v>
      </c>
      <c r="G188" s="148" t="s">
        <v>671</v>
      </c>
      <c r="H188" s="86">
        <v>0</v>
      </c>
      <c r="I188" s="85"/>
      <c r="J188" s="84"/>
      <c r="K188" s="84" t="s">
        <v>55</v>
      </c>
      <c r="L188" s="146">
        <v>3</v>
      </c>
      <c r="M188" s="96" t="s">
        <v>36</v>
      </c>
      <c r="N188" s="85"/>
      <c r="O188" s="107">
        <v>0</v>
      </c>
      <c r="P188" s="113">
        <f t="shared" si="156"/>
        <v>0</v>
      </c>
      <c r="Q188" s="85">
        <f t="shared" si="157"/>
        <v>0</v>
      </c>
      <c r="R188" s="84"/>
      <c r="S188" s="154">
        <v>1</v>
      </c>
      <c r="T188" s="154">
        <f t="shared" si="158"/>
        <v>0</v>
      </c>
      <c r="U188" s="87" t="str">
        <f t="shared" si="159"/>
        <v>NONE</v>
      </c>
      <c r="V188" s="97"/>
      <c r="W188" s="146"/>
      <c r="X188" s="89">
        <f t="shared" si="160"/>
        <v>0</v>
      </c>
      <c r="Y188" s="154"/>
      <c r="Z188" s="113">
        <f t="shared" si="161"/>
        <v>0</v>
      </c>
      <c r="AA188" s="113">
        <f t="shared" si="162"/>
        <v>0</v>
      </c>
      <c r="AB188" s="113"/>
      <c r="AC188" s="155">
        <f t="shared" si="163"/>
        <v>0</v>
      </c>
      <c r="AD188" s="113"/>
      <c r="AE188" s="113">
        <f t="shared" si="164"/>
        <v>0</v>
      </c>
      <c r="AF188" s="113">
        <f>IF(AG188&gt;0,AG83:AG196,0)</f>
        <v>0</v>
      </c>
      <c r="AG188" s="113">
        <f t="shared" si="165"/>
        <v>0</v>
      </c>
      <c r="AI188">
        <f t="shared" si="166"/>
        <v>0</v>
      </c>
      <c r="AJ188">
        <f t="shared" si="167"/>
        <v>0</v>
      </c>
      <c r="AK188">
        <f t="shared" si="168"/>
        <v>0</v>
      </c>
      <c r="AL188">
        <f t="shared" si="169"/>
        <v>0</v>
      </c>
      <c r="AN188">
        <f t="shared" si="170"/>
        <v>0</v>
      </c>
      <c r="AO188">
        <f t="shared" si="171"/>
        <v>0</v>
      </c>
      <c r="AP188">
        <f t="shared" si="172"/>
        <v>0</v>
      </c>
      <c r="AQ188">
        <f t="shared" si="173"/>
        <v>0</v>
      </c>
    </row>
    <row r="189" spans="1:44" x14ac:dyDescent="0.3">
      <c r="B189" s="200" t="s">
        <v>718</v>
      </c>
      <c r="C189" t="s">
        <v>717</v>
      </c>
      <c r="D189" s="84" t="s">
        <v>616</v>
      </c>
      <c r="E189" s="85">
        <f>IF(D189=$B$12,H189,0)</f>
        <v>0</v>
      </c>
      <c r="F189" s="85">
        <f t="shared" si="155"/>
        <v>1</v>
      </c>
      <c r="G189" s="85" t="s">
        <v>679</v>
      </c>
      <c r="H189" s="86">
        <v>11</v>
      </c>
      <c r="I189" s="85"/>
      <c r="J189" s="84" t="s">
        <v>615</v>
      </c>
      <c r="K189" s="84" t="s">
        <v>55</v>
      </c>
      <c r="L189" s="146">
        <v>0</v>
      </c>
      <c r="M189" s="96" t="s">
        <v>36</v>
      </c>
      <c r="N189" s="85"/>
      <c r="O189" s="107">
        <v>-1000</v>
      </c>
      <c r="P189" s="113">
        <f t="shared" si="156"/>
        <v>-400</v>
      </c>
      <c r="Q189" s="85">
        <f t="shared" si="157"/>
        <v>0</v>
      </c>
      <c r="R189" s="201" t="s">
        <v>719</v>
      </c>
      <c r="S189" s="154">
        <v>1</v>
      </c>
      <c r="T189" s="154">
        <f t="shared" si="158"/>
        <v>-20</v>
      </c>
      <c r="U189" s="87" t="str">
        <f t="shared" si="159"/>
        <v>PAYPAL</v>
      </c>
      <c r="V189" s="97">
        <v>2</v>
      </c>
      <c r="W189" s="90" t="s">
        <v>721</v>
      </c>
      <c r="X189" s="89">
        <f t="shared" si="160"/>
        <v>-400</v>
      </c>
      <c r="Y189" s="154"/>
      <c r="Z189" s="113">
        <f t="shared" si="161"/>
        <v>0</v>
      </c>
      <c r="AA189" s="113">
        <f t="shared" si="162"/>
        <v>130</v>
      </c>
      <c r="AB189" s="113"/>
      <c r="AC189" s="155">
        <f t="shared" si="163"/>
        <v>-1150</v>
      </c>
      <c r="AD189" s="113"/>
      <c r="AE189" s="113">
        <f t="shared" si="164"/>
        <v>30</v>
      </c>
      <c r="AF189" s="113">
        <f>IF(AG189&gt;0,AG84:AG189,0)</f>
        <v>0</v>
      </c>
      <c r="AG189" s="113">
        <f t="shared" si="165"/>
        <v>-1180</v>
      </c>
      <c r="AI189">
        <f t="shared" si="166"/>
        <v>-980</v>
      </c>
      <c r="AJ189">
        <f t="shared" si="167"/>
        <v>0</v>
      </c>
      <c r="AK189">
        <f t="shared" si="168"/>
        <v>0</v>
      </c>
      <c r="AL189">
        <f t="shared" si="169"/>
        <v>0</v>
      </c>
      <c r="AN189">
        <f t="shared" si="170"/>
        <v>-980</v>
      </c>
      <c r="AO189">
        <f t="shared" si="171"/>
        <v>0</v>
      </c>
      <c r="AP189">
        <f t="shared" si="172"/>
        <v>0</v>
      </c>
      <c r="AQ189">
        <f t="shared" si="173"/>
        <v>0</v>
      </c>
    </row>
    <row r="190" spans="1:44" x14ac:dyDescent="0.3">
      <c r="B190" s="103" t="s">
        <v>82</v>
      </c>
      <c r="C190" s="86" t="s">
        <v>42</v>
      </c>
      <c r="D190" s="84" t="s">
        <v>42</v>
      </c>
      <c r="E190" s="84">
        <f>IF(D148=$B$12,H190,0)</f>
        <v>0</v>
      </c>
      <c r="F190" s="84">
        <f t="shared" si="155"/>
        <v>1</v>
      </c>
      <c r="G190" s="148" t="s">
        <v>670</v>
      </c>
      <c r="H190" s="86">
        <v>0</v>
      </c>
      <c r="I190" s="85"/>
      <c r="J190" s="84"/>
      <c r="K190" s="84" t="s">
        <v>55</v>
      </c>
      <c r="L190" s="90">
        <v>3</v>
      </c>
      <c r="M190" s="96" t="s">
        <v>36</v>
      </c>
      <c r="N190" s="84"/>
      <c r="O190" s="107">
        <v>0</v>
      </c>
      <c r="P190" s="113">
        <f t="shared" si="156"/>
        <v>0</v>
      </c>
      <c r="Q190" s="85">
        <f t="shared" si="157"/>
        <v>0</v>
      </c>
      <c r="R190" s="57"/>
      <c r="S190" s="89">
        <v>1</v>
      </c>
      <c r="T190" s="89">
        <f t="shared" si="158"/>
        <v>0</v>
      </c>
      <c r="U190" s="87" t="str">
        <f t="shared" si="159"/>
        <v>NONE</v>
      </c>
      <c r="V190" s="97"/>
      <c r="W190" s="90"/>
      <c r="X190" s="89">
        <f t="shared" si="160"/>
        <v>0</v>
      </c>
      <c r="Y190" s="89"/>
      <c r="Z190" s="58">
        <f t="shared" si="161"/>
        <v>0</v>
      </c>
      <c r="AA190" s="58">
        <f t="shared" si="162"/>
        <v>0</v>
      </c>
      <c r="AB190" s="58"/>
      <c r="AC190" s="98">
        <f t="shared" si="163"/>
        <v>0</v>
      </c>
      <c r="AD190" s="58"/>
      <c r="AE190" s="58">
        <f t="shared" si="164"/>
        <v>0</v>
      </c>
      <c r="AF190" s="58">
        <f>IF(AG190&gt;0,AG86:AG190,0)</f>
        <v>0</v>
      </c>
      <c r="AG190" s="58">
        <f t="shared" si="165"/>
        <v>0</v>
      </c>
      <c r="AI190">
        <f t="shared" si="166"/>
        <v>0</v>
      </c>
      <c r="AJ190">
        <f t="shared" si="167"/>
        <v>0</v>
      </c>
      <c r="AK190">
        <f t="shared" si="168"/>
        <v>0</v>
      </c>
      <c r="AL190">
        <f t="shared" si="169"/>
        <v>0</v>
      </c>
      <c r="AN190">
        <f t="shared" si="170"/>
        <v>0</v>
      </c>
      <c r="AO190">
        <f t="shared" si="171"/>
        <v>0</v>
      </c>
      <c r="AP190">
        <f t="shared" si="172"/>
        <v>0</v>
      </c>
      <c r="AQ190">
        <f t="shared" si="173"/>
        <v>0</v>
      </c>
    </row>
    <row r="191" spans="1:44" x14ac:dyDescent="0.3">
      <c r="B191" s="148" t="s">
        <v>642</v>
      </c>
      <c r="C191" t="s">
        <v>641</v>
      </c>
      <c r="D191" s="84" t="s">
        <v>616</v>
      </c>
      <c r="E191" s="84">
        <f t="shared" ref="E191:E206" si="174">IF(D191=$B$12,H191,0)</f>
        <v>0</v>
      </c>
      <c r="F191" s="84">
        <f t="shared" si="155"/>
        <v>1</v>
      </c>
      <c r="G191" s="148" t="s">
        <v>640</v>
      </c>
      <c r="H191" s="86">
        <v>19</v>
      </c>
      <c r="I191" s="85"/>
      <c r="J191" s="84" t="s">
        <v>103</v>
      </c>
      <c r="K191" s="84" t="s">
        <v>55</v>
      </c>
      <c r="L191" s="90">
        <v>0</v>
      </c>
      <c r="M191" s="96" t="s">
        <v>36</v>
      </c>
      <c r="N191" s="84"/>
      <c r="O191" s="107">
        <v>4470</v>
      </c>
      <c r="P191" s="113">
        <f t="shared" si="156"/>
        <v>1788</v>
      </c>
      <c r="Q191" s="85">
        <f t="shared" si="157"/>
        <v>3376</v>
      </c>
      <c r="R191" s="57" t="s">
        <v>643</v>
      </c>
      <c r="S191" s="89">
        <v>1</v>
      </c>
      <c r="T191" s="89">
        <f t="shared" si="158"/>
        <v>194</v>
      </c>
      <c r="U191" s="87" t="str">
        <f t="shared" si="159"/>
        <v>PAYPAL</v>
      </c>
      <c r="V191" s="97">
        <v>2</v>
      </c>
      <c r="W191" s="212" t="s">
        <v>763</v>
      </c>
      <c r="X191" s="89">
        <f t="shared" si="160"/>
        <v>5164</v>
      </c>
      <c r="Y191" s="89"/>
      <c r="Z191" s="58">
        <f t="shared" si="161"/>
        <v>0</v>
      </c>
      <c r="AA191" s="58">
        <f t="shared" si="162"/>
        <v>130</v>
      </c>
      <c r="AB191" s="58"/>
      <c r="AC191" s="98">
        <f t="shared" si="163"/>
        <v>4534</v>
      </c>
      <c r="AD191" s="58"/>
      <c r="AE191" s="58">
        <f t="shared" si="164"/>
        <v>30</v>
      </c>
      <c r="AF191" s="58">
        <f>IF(AG191&gt;0,AG94:AG191,0)</f>
        <v>4504</v>
      </c>
      <c r="AG191" s="58">
        <f t="shared" si="165"/>
        <v>4504</v>
      </c>
      <c r="AI191">
        <f t="shared" si="166"/>
        <v>4276</v>
      </c>
      <c r="AJ191">
        <f t="shared" si="167"/>
        <v>0</v>
      </c>
      <c r="AK191">
        <f t="shared" si="168"/>
        <v>0</v>
      </c>
      <c r="AL191">
        <f t="shared" si="169"/>
        <v>0</v>
      </c>
      <c r="AN191">
        <f t="shared" si="170"/>
        <v>4276</v>
      </c>
      <c r="AO191">
        <f t="shared" si="171"/>
        <v>0</v>
      </c>
      <c r="AP191">
        <f t="shared" si="172"/>
        <v>0</v>
      </c>
      <c r="AQ191">
        <f t="shared" si="173"/>
        <v>0</v>
      </c>
    </row>
    <row r="192" spans="1:44" x14ac:dyDescent="0.3">
      <c r="B192" s="148" t="s">
        <v>512</v>
      </c>
      <c r="C192" t="s">
        <v>513</v>
      </c>
      <c r="D192" s="84" t="s">
        <v>370</v>
      </c>
      <c r="E192" s="84">
        <f t="shared" si="174"/>
        <v>0</v>
      </c>
      <c r="F192" s="84">
        <f t="shared" si="155"/>
        <v>1</v>
      </c>
      <c r="G192" s="84" t="s">
        <v>511</v>
      </c>
      <c r="H192" s="85">
        <v>9</v>
      </c>
      <c r="I192" s="85"/>
      <c r="J192" s="84" t="s">
        <v>80</v>
      </c>
      <c r="K192" s="84" t="s">
        <v>55</v>
      </c>
      <c r="L192" s="90">
        <v>0</v>
      </c>
      <c r="M192" s="96" t="s">
        <v>36</v>
      </c>
      <c r="N192" s="84"/>
      <c r="O192" s="107">
        <v>1837</v>
      </c>
      <c r="P192" s="58">
        <v>770</v>
      </c>
      <c r="Q192" s="84">
        <f t="shared" si="157"/>
        <v>1658</v>
      </c>
      <c r="R192" s="57" t="s">
        <v>514</v>
      </c>
      <c r="S192" s="89">
        <v>1</v>
      </c>
      <c r="T192" s="89">
        <f t="shared" si="158"/>
        <v>91</v>
      </c>
      <c r="U192" s="87" t="str">
        <f t="shared" si="159"/>
        <v>PAYPAL</v>
      </c>
      <c r="V192" s="97">
        <v>2</v>
      </c>
      <c r="W192" s="90" t="s">
        <v>762</v>
      </c>
      <c r="X192" s="89">
        <f t="shared" si="160"/>
        <v>2428</v>
      </c>
      <c r="Y192" s="89"/>
      <c r="Z192" s="58">
        <f t="shared" si="161"/>
        <v>0</v>
      </c>
      <c r="AA192" s="58">
        <f t="shared" si="162"/>
        <v>130</v>
      </c>
      <c r="AB192" s="58"/>
      <c r="AC192" s="98">
        <f t="shared" si="163"/>
        <v>1798</v>
      </c>
      <c r="AD192" s="58"/>
      <c r="AE192" s="58">
        <f t="shared" si="164"/>
        <v>30</v>
      </c>
      <c r="AF192" s="58">
        <f>IF(AG192&gt;0,AG73:AG192,0)</f>
        <v>1768</v>
      </c>
      <c r="AG192" s="58">
        <f>AC192-AE192</f>
        <v>1768</v>
      </c>
      <c r="AH192" s="84"/>
      <c r="AI192" s="84">
        <f>IF(S192=1,O192-T192,0)</f>
        <v>1746</v>
      </c>
      <c r="AJ192">
        <f>IF(S192=2,O192-T192,0)</f>
        <v>0</v>
      </c>
      <c r="AK192">
        <f>IF(S192=3,O192-T192,0)</f>
        <v>0</v>
      </c>
      <c r="AL192">
        <f>IF(S192=4,O192-T192,0)</f>
        <v>0</v>
      </c>
      <c r="AN192">
        <f>IF(S192=1,O192-T192,0)</f>
        <v>1746</v>
      </c>
      <c r="AO192">
        <f>IF(S192=2,O192-T192,0)</f>
        <v>0</v>
      </c>
      <c r="AP192">
        <f>IF(S192=3,O192-T192,0)</f>
        <v>0</v>
      </c>
      <c r="AQ192">
        <f>IF(S192=4,O192-T192,0)</f>
        <v>0</v>
      </c>
    </row>
    <row r="193" spans="2:43" x14ac:dyDescent="0.3">
      <c r="B193" s="86" t="s">
        <v>757</v>
      </c>
      <c r="C193" t="s">
        <v>659</v>
      </c>
      <c r="D193" s="84" t="s">
        <v>616</v>
      </c>
      <c r="E193" s="85">
        <f t="shared" si="174"/>
        <v>0</v>
      </c>
      <c r="F193" s="85">
        <f t="shared" si="155"/>
        <v>1</v>
      </c>
      <c r="G193" s="85" t="s">
        <v>660</v>
      </c>
      <c r="H193" s="86">
        <v>7</v>
      </c>
      <c r="I193" s="85"/>
      <c r="J193" s="84" t="s">
        <v>98</v>
      </c>
      <c r="K193" s="84" t="s">
        <v>55</v>
      </c>
      <c r="L193" s="146">
        <v>0</v>
      </c>
      <c r="M193" s="96" t="s">
        <v>36</v>
      </c>
      <c r="N193" s="85"/>
      <c r="O193" s="107">
        <v>1768</v>
      </c>
      <c r="P193" s="113">
        <f>ROUND((O193*0.4),0)</f>
        <v>707</v>
      </c>
      <c r="Q193" s="85">
        <f t="shared" si="157"/>
        <v>1649</v>
      </c>
      <c r="R193" s="57" t="s">
        <v>661</v>
      </c>
      <c r="S193" s="154">
        <v>1</v>
      </c>
      <c r="T193" s="154">
        <f t="shared" si="158"/>
        <v>88</v>
      </c>
      <c r="U193" s="87" t="str">
        <f t="shared" si="159"/>
        <v>PAYPAL</v>
      </c>
      <c r="V193" s="97">
        <v>2</v>
      </c>
      <c r="W193" s="90" t="s">
        <v>25</v>
      </c>
      <c r="X193" s="89">
        <f t="shared" si="160"/>
        <v>2356</v>
      </c>
      <c r="Y193" s="154"/>
      <c r="Z193" s="113">
        <f t="shared" si="161"/>
        <v>0</v>
      </c>
      <c r="AA193" s="113">
        <f t="shared" si="162"/>
        <v>130</v>
      </c>
      <c r="AB193" s="113"/>
      <c r="AC193" s="155">
        <f t="shared" si="163"/>
        <v>1726</v>
      </c>
      <c r="AD193" s="113"/>
      <c r="AE193" s="113">
        <f t="shared" si="164"/>
        <v>30</v>
      </c>
      <c r="AF193" s="113">
        <f>IF(AG193&gt;0,AG90:AG211,0)</f>
        <v>1696</v>
      </c>
      <c r="AG193" s="113">
        <f>AC193-AE193</f>
        <v>1696</v>
      </c>
      <c r="AI193">
        <f>IF(S193=1,O193-T193,0)</f>
        <v>1680</v>
      </c>
      <c r="AJ193">
        <f>IF(S193=2,O193-T193,0)</f>
        <v>0</v>
      </c>
      <c r="AK193">
        <f>IF(S193=3,O193-T193,0)</f>
        <v>0</v>
      </c>
      <c r="AL193">
        <f>IF(S193=4,O193-T193,0)</f>
        <v>0</v>
      </c>
      <c r="AN193">
        <f>IF(S193=1,O193-T193,0)</f>
        <v>1680</v>
      </c>
      <c r="AO193">
        <f>IF(S193=2,O193-T193,0)</f>
        <v>0</v>
      </c>
      <c r="AP193">
        <f>IF(S193=3,O193-T193,0)</f>
        <v>0</v>
      </c>
      <c r="AQ193">
        <f>IF(S193=4,O193-T193,0)</f>
        <v>0</v>
      </c>
    </row>
    <row r="194" spans="2:43" x14ac:dyDescent="0.3">
      <c r="B194" s="103" t="s">
        <v>82</v>
      </c>
      <c r="C194" s="86" t="s">
        <v>42</v>
      </c>
      <c r="D194" s="84" t="s">
        <v>42</v>
      </c>
      <c r="E194" s="85">
        <f t="shared" si="174"/>
        <v>7</v>
      </c>
      <c r="F194" s="85">
        <f t="shared" si="155"/>
        <v>0</v>
      </c>
      <c r="G194" s="169" t="s">
        <v>644</v>
      </c>
      <c r="H194" s="86">
        <v>7</v>
      </c>
      <c r="I194" s="88"/>
      <c r="J194" s="84" t="s">
        <v>63</v>
      </c>
      <c r="K194" s="60" t="s">
        <v>55</v>
      </c>
      <c r="L194" s="60">
        <v>3</v>
      </c>
      <c r="M194" s="96" t="s">
        <v>36</v>
      </c>
      <c r="N194" s="84"/>
      <c r="O194" s="163">
        <v>0</v>
      </c>
      <c r="P194" s="113">
        <f>ROUND((O194*0.4),0)</f>
        <v>0</v>
      </c>
      <c r="Q194" s="85">
        <f t="shared" si="157"/>
        <v>0</v>
      </c>
      <c r="R194" s="57"/>
      <c r="S194" s="154"/>
      <c r="T194" s="154">
        <v>0</v>
      </c>
      <c r="U194" s="87" t="str">
        <f t="shared" si="159"/>
        <v>NONE</v>
      </c>
      <c r="V194" s="97"/>
      <c r="W194" s="146"/>
      <c r="X194" s="89">
        <f t="shared" ref="X194:X223" si="175">Q194+P194</f>
        <v>0</v>
      </c>
      <c r="Y194" s="154"/>
      <c r="Z194" s="113">
        <f t="shared" si="161"/>
        <v>0</v>
      </c>
      <c r="AA194" s="113">
        <f t="shared" si="162"/>
        <v>130</v>
      </c>
      <c r="AB194" s="113"/>
      <c r="AC194" s="155">
        <f t="shared" si="163"/>
        <v>-130</v>
      </c>
      <c r="AD194" s="113"/>
      <c r="AE194" s="113">
        <f t="shared" si="164"/>
        <v>0</v>
      </c>
      <c r="AF194" s="113">
        <f>IF(AG194&gt;0,AG98:AG194,0)</f>
        <v>0</v>
      </c>
      <c r="AG194" s="113">
        <f t="shared" si="165"/>
        <v>-130</v>
      </c>
      <c r="AI194">
        <f t="shared" si="166"/>
        <v>0</v>
      </c>
      <c r="AJ194">
        <f t="shared" si="167"/>
        <v>0</v>
      </c>
      <c r="AK194">
        <f t="shared" si="168"/>
        <v>0</v>
      </c>
      <c r="AL194">
        <f t="shared" si="169"/>
        <v>0</v>
      </c>
      <c r="AN194">
        <f t="shared" si="170"/>
        <v>0</v>
      </c>
      <c r="AO194">
        <f t="shared" si="171"/>
        <v>0</v>
      </c>
      <c r="AP194">
        <f t="shared" si="172"/>
        <v>0</v>
      </c>
      <c r="AQ194">
        <f t="shared" si="173"/>
        <v>0</v>
      </c>
    </row>
    <row r="195" spans="2:43" x14ac:dyDescent="0.3">
      <c r="B195" s="84" t="s">
        <v>766</v>
      </c>
      <c r="C195" t="s">
        <v>765</v>
      </c>
      <c r="D195" s="84" t="s">
        <v>61</v>
      </c>
      <c r="E195" s="85">
        <f t="shared" si="174"/>
        <v>0</v>
      </c>
      <c r="F195" s="85">
        <f t="shared" si="155"/>
        <v>1</v>
      </c>
      <c r="G195" s="85" t="s">
        <v>657</v>
      </c>
      <c r="H195" s="86">
        <v>7</v>
      </c>
      <c r="I195" s="85"/>
      <c r="J195" s="84" t="s">
        <v>538</v>
      </c>
      <c r="K195" s="84" t="s">
        <v>55</v>
      </c>
      <c r="L195" s="146">
        <v>0</v>
      </c>
      <c r="M195" s="96" t="s">
        <v>36</v>
      </c>
      <c r="N195" s="85"/>
      <c r="O195" s="107">
        <v>1440</v>
      </c>
      <c r="P195" s="113">
        <v>500</v>
      </c>
      <c r="Q195" s="85">
        <f t="shared" si="157"/>
        <v>1516</v>
      </c>
      <c r="R195" s="153" t="s">
        <v>658</v>
      </c>
      <c r="S195" s="154">
        <v>2</v>
      </c>
      <c r="T195" s="154">
        <f t="shared" ref="T195:T206" si="176">IF(U195=$AD$2,47,IF(U195=$AD$1,ROUND(((O195+500)*0.039),0),IF(U195=$AD$3,0)))</f>
        <v>76</v>
      </c>
      <c r="U195" s="87" t="str">
        <f t="shared" si="159"/>
        <v>PAYPAL</v>
      </c>
      <c r="V195" s="97">
        <v>2</v>
      </c>
      <c r="W195" s="213" t="s">
        <v>779</v>
      </c>
      <c r="X195" s="89">
        <f t="shared" si="175"/>
        <v>2016</v>
      </c>
      <c r="Y195" s="154"/>
      <c r="Z195" s="113">
        <f t="shared" si="161"/>
        <v>0</v>
      </c>
      <c r="AA195" s="113">
        <f t="shared" si="162"/>
        <v>130</v>
      </c>
      <c r="AB195" s="113"/>
      <c r="AC195" s="155">
        <f t="shared" si="163"/>
        <v>1386</v>
      </c>
      <c r="AD195" s="113"/>
      <c r="AE195" s="113">
        <f t="shared" si="164"/>
        <v>30</v>
      </c>
      <c r="AF195" s="113">
        <f>IF(AG195&gt;0,AG93:AG195,0)</f>
        <v>1356</v>
      </c>
      <c r="AG195" s="113">
        <f t="shared" si="165"/>
        <v>1356</v>
      </c>
      <c r="AI195">
        <f t="shared" si="166"/>
        <v>0</v>
      </c>
      <c r="AJ195">
        <f t="shared" si="167"/>
        <v>1364</v>
      </c>
      <c r="AK195">
        <f t="shared" si="168"/>
        <v>0</v>
      </c>
      <c r="AL195">
        <f t="shared" si="169"/>
        <v>0</v>
      </c>
      <c r="AN195">
        <f t="shared" si="170"/>
        <v>0</v>
      </c>
      <c r="AO195">
        <f t="shared" si="171"/>
        <v>1364</v>
      </c>
      <c r="AP195">
        <f t="shared" si="172"/>
        <v>0</v>
      </c>
      <c r="AQ195">
        <f t="shared" si="173"/>
        <v>0</v>
      </c>
    </row>
    <row r="196" spans="2:43" x14ac:dyDescent="0.3">
      <c r="B196" s="103" t="s">
        <v>82</v>
      </c>
      <c r="C196" s="86" t="s">
        <v>42</v>
      </c>
      <c r="D196" s="84" t="s">
        <v>42</v>
      </c>
      <c r="E196" s="85">
        <f t="shared" si="174"/>
        <v>4</v>
      </c>
      <c r="F196" s="85">
        <f t="shared" si="155"/>
        <v>0</v>
      </c>
      <c r="G196" s="104" t="s">
        <v>694</v>
      </c>
      <c r="H196" s="86">
        <v>4</v>
      </c>
      <c r="I196" s="85"/>
      <c r="J196" s="84" t="s">
        <v>63</v>
      </c>
      <c r="K196" s="84" t="s">
        <v>55</v>
      </c>
      <c r="L196" s="146">
        <v>3</v>
      </c>
      <c r="M196" s="96" t="s">
        <v>36</v>
      </c>
      <c r="N196" s="85"/>
      <c r="O196" s="107">
        <v>0</v>
      </c>
      <c r="P196" s="113">
        <f>ROUND((O196*0.4),0)</f>
        <v>0</v>
      </c>
      <c r="Q196" s="85">
        <f t="shared" si="157"/>
        <v>0</v>
      </c>
      <c r="R196" s="84"/>
      <c r="S196" s="154"/>
      <c r="T196" s="154">
        <f t="shared" si="176"/>
        <v>0</v>
      </c>
      <c r="U196" s="87" t="str">
        <f t="shared" si="159"/>
        <v>NONE</v>
      </c>
      <c r="V196" s="97"/>
      <c r="W196" s="146"/>
      <c r="X196" s="89">
        <f t="shared" si="175"/>
        <v>0</v>
      </c>
      <c r="Y196" s="154"/>
      <c r="Z196" s="113">
        <f t="shared" si="161"/>
        <v>0</v>
      </c>
      <c r="AA196" s="113">
        <f t="shared" si="162"/>
        <v>130</v>
      </c>
      <c r="AB196" s="113"/>
      <c r="AC196" s="155">
        <f t="shared" si="163"/>
        <v>-130</v>
      </c>
      <c r="AD196" s="113"/>
      <c r="AE196" s="113">
        <f t="shared" si="164"/>
        <v>0</v>
      </c>
      <c r="AF196" s="113">
        <f>IF(AG196&gt;0,AG93:AG213,0)</f>
        <v>0</v>
      </c>
      <c r="AG196" s="113">
        <f t="shared" si="165"/>
        <v>-130</v>
      </c>
      <c r="AI196">
        <f t="shared" si="166"/>
        <v>0</v>
      </c>
      <c r="AJ196">
        <f t="shared" si="167"/>
        <v>0</v>
      </c>
      <c r="AK196">
        <f t="shared" si="168"/>
        <v>0</v>
      </c>
      <c r="AL196">
        <f t="shared" si="169"/>
        <v>0</v>
      </c>
      <c r="AN196">
        <f t="shared" si="170"/>
        <v>0</v>
      </c>
      <c r="AO196">
        <f t="shared" si="171"/>
        <v>0</v>
      </c>
      <c r="AP196">
        <f t="shared" si="172"/>
        <v>0</v>
      </c>
      <c r="AQ196">
        <f t="shared" si="173"/>
        <v>0</v>
      </c>
    </row>
    <row r="197" spans="2:43" x14ac:dyDescent="0.3">
      <c r="B197" s="86"/>
      <c r="C197" s="86"/>
      <c r="D197" s="85"/>
      <c r="E197" s="84">
        <f t="shared" si="174"/>
        <v>0</v>
      </c>
      <c r="F197" s="84">
        <f t="shared" si="155"/>
        <v>1</v>
      </c>
      <c r="G197" s="85"/>
      <c r="H197" s="86"/>
      <c r="I197" s="85"/>
      <c r="J197" s="84"/>
      <c r="K197" s="84" t="s">
        <v>55</v>
      </c>
      <c r="L197" s="90">
        <v>0</v>
      </c>
      <c r="M197" s="96" t="s">
        <v>36</v>
      </c>
      <c r="N197" s="84"/>
      <c r="O197" s="107">
        <v>0</v>
      </c>
      <c r="P197" s="113">
        <f>ROUND((O197*0.4),0)</f>
        <v>0</v>
      </c>
      <c r="Q197" s="85">
        <f>IF(O197&gt;0,((O197+500)-P197)+T197,0)</f>
        <v>0</v>
      </c>
      <c r="R197" s="57"/>
      <c r="S197" s="89"/>
      <c r="T197" s="154">
        <f t="shared" si="176"/>
        <v>0</v>
      </c>
      <c r="U197" s="87" t="str">
        <f t="shared" si="159"/>
        <v>NONE</v>
      </c>
      <c r="V197" s="97"/>
      <c r="W197" s="90"/>
      <c r="X197" s="89">
        <f t="shared" si="175"/>
        <v>0</v>
      </c>
      <c r="Y197" s="89"/>
      <c r="Z197" s="58">
        <f t="shared" si="161"/>
        <v>0</v>
      </c>
      <c r="AA197" s="58">
        <f t="shared" si="162"/>
        <v>0</v>
      </c>
      <c r="AB197" s="58"/>
      <c r="AC197" s="98">
        <f t="shared" si="163"/>
        <v>0</v>
      </c>
      <c r="AD197" s="58"/>
      <c r="AE197" s="58">
        <f t="shared" si="164"/>
        <v>0</v>
      </c>
      <c r="AF197" s="58">
        <f>IF(AG197&gt;0,AG90:AG197,0)</f>
        <v>0</v>
      </c>
      <c r="AG197" s="58">
        <f t="shared" si="165"/>
        <v>0</v>
      </c>
      <c r="AI197">
        <f t="shared" si="166"/>
        <v>0</v>
      </c>
      <c r="AJ197">
        <f t="shared" si="167"/>
        <v>0</v>
      </c>
      <c r="AK197">
        <f t="shared" si="168"/>
        <v>0</v>
      </c>
      <c r="AL197">
        <f t="shared" si="169"/>
        <v>0</v>
      </c>
      <c r="AN197">
        <f t="shared" si="170"/>
        <v>0</v>
      </c>
      <c r="AO197">
        <f t="shared" si="171"/>
        <v>0</v>
      </c>
      <c r="AP197">
        <f t="shared" si="172"/>
        <v>0</v>
      </c>
      <c r="AQ197">
        <f t="shared" si="173"/>
        <v>0</v>
      </c>
    </row>
    <row r="198" spans="2:43" x14ac:dyDescent="0.3">
      <c r="B198" s="86" t="s">
        <v>695</v>
      </c>
      <c r="C198" t="s">
        <v>696</v>
      </c>
      <c r="D198" s="84" t="s">
        <v>370</v>
      </c>
      <c r="E198" s="85">
        <f t="shared" si="174"/>
        <v>0</v>
      </c>
      <c r="F198" s="85">
        <f t="shared" si="155"/>
        <v>1</v>
      </c>
      <c r="G198" s="148" t="s">
        <v>697</v>
      </c>
      <c r="H198" s="86">
        <v>8</v>
      </c>
      <c r="I198" s="85"/>
      <c r="J198" s="84" t="s">
        <v>698</v>
      </c>
      <c r="K198" s="84" t="s">
        <v>55</v>
      </c>
      <c r="L198" s="146">
        <v>0</v>
      </c>
      <c r="M198" s="96" t="s">
        <v>36</v>
      </c>
      <c r="N198" s="85"/>
      <c r="O198" s="107">
        <v>2073</v>
      </c>
      <c r="P198" s="113">
        <f>ROUND((O198*0.4),0)</f>
        <v>829</v>
      </c>
      <c r="Q198" s="85">
        <f t="shared" si="157"/>
        <v>1844</v>
      </c>
      <c r="R198" s="153" t="s">
        <v>699</v>
      </c>
      <c r="S198" s="154">
        <v>2</v>
      </c>
      <c r="T198" s="154">
        <f t="shared" si="176"/>
        <v>100</v>
      </c>
      <c r="U198" s="87" t="str">
        <f t="shared" si="159"/>
        <v>PAYPAL</v>
      </c>
      <c r="V198" s="97">
        <v>2</v>
      </c>
      <c r="W198" s="90" t="s">
        <v>25</v>
      </c>
      <c r="X198" s="89">
        <f t="shared" si="175"/>
        <v>2673</v>
      </c>
      <c r="Y198" s="154"/>
      <c r="Z198" s="113">
        <f t="shared" si="161"/>
        <v>0</v>
      </c>
      <c r="AA198" s="113">
        <f t="shared" si="162"/>
        <v>130</v>
      </c>
      <c r="AB198" s="113"/>
      <c r="AC198" s="155">
        <f t="shared" si="163"/>
        <v>2043</v>
      </c>
      <c r="AD198" s="113"/>
      <c r="AE198" s="113">
        <f t="shared" si="164"/>
        <v>30</v>
      </c>
      <c r="AF198" s="113">
        <f>IF(AG198&gt;0,AG90:AG208,0)</f>
        <v>2013</v>
      </c>
      <c r="AG198" s="113">
        <f t="shared" si="165"/>
        <v>2013</v>
      </c>
      <c r="AI198">
        <f t="shared" si="166"/>
        <v>0</v>
      </c>
      <c r="AJ198">
        <f t="shared" si="167"/>
        <v>1973</v>
      </c>
      <c r="AK198">
        <f t="shared" si="168"/>
        <v>0</v>
      </c>
      <c r="AL198">
        <f t="shared" si="169"/>
        <v>0</v>
      </c>
      <c r="AN198">
        <f t="shared" si="170"/>
        <v>0</v>
      </c>
      <c r="AO198">
        <f t="shared" si="171"/>
        <v>1973</v>
      </c>
      <c r="AP198">
        <f t="shared" si="172"/>
        <v>0</v>
      </c>
      <c r="AQ198">
        <f t="shared" si="173"/>
        <v>0</v>
      </c>
    </row>
    <row r="199" spans="2:43" x14ac:dyDescent="0.3">
      <c r="B199" s="86" t="s">
        <v>650</v>
      </c>
      <c r="C199" t="s">
        <v>770</v>
      </c>
      <c r="D199" s="84" t="s">
        <v>30</v>
      </c>
      <c r="E199" s="85">
        <f t="shared" si="174"/>
        <v>0</v>
      </c>
      <c r="F199" s="85">
        <f t="shared" si="155"/>
        <v>1</v>
      </c>
      <c r="G199" s="84" t="s">
        <v>649</v>
      </c>
      <c r="H199" s="86">
        <v>14</v>
      </c>
      <c r="I199" s="85"/>
      <c r="J199" s="84" t="s">
        <v>201</v>
      </c>
      <c r="K199" s="84" t="s">
        <v>55</v>
      </c>
      <c r="L199" s="146">
        <v>0</v>
      </c>
      <c r="M199" s="96" t="s">
        <v>36</v>
      </c>
      <c r="N199" s="85"/>
      <c r="O199" s="107">
        <v>3367</v>
      </c>
      <c r="P199" s="113">
        <f>ROUND((O199*0.4),0)</f>
        <v>1347</v>
      </c>
      <c r="Q199" s="85">
        <f t="shared" si="157"/>
        <v>2671</v>
      </c>
      <c r="R199" s="153" t="s">
        <v>651</v>
      </c>
      <c r="S199" s="154"/>
      <c r="T199" s="154">
        <f t="shared" si="176"/>
        <v>151</v>
      </c>
      <c r="U199" s="87" t="str">
        <f t="shared" si="159"/>
        <v>PAYPAL</v>
      </c>
      <c r="V199" s="97">
        <v>2</v>
      </c>
      <c r="W199" s="90" t="s">
        <v>780</v>
      </c>
      <c r="X199" s="89">
        <f t="shared" si="175"/>
        <v>4018</v>
      </c>
      <c r="Y199" s="154"/>
      <c r="Z199" s="113">
        <f t="shared" si="161"/>
        <v>0</v>
      </c>
      <c r="AA199" s="113">
        <f t="shared" si="162"/>
        <v>130</v>
      </c>
      <c r="AB199" s="113"/>
      <c r="AC199" s="155">
        <f t="shared" si="163"/>
        <v>3388</v>
      </c>
      <c r="AD199" s="113"/>
      <c r="AE199" s="113">
        <f t="shared" si="164"/>
        <v>30</v>
      </c>
      <c r="AF199" s="113">
        <f>IF(AG199&gt;0,AG95:AG199,0)</f>
        <v>3358</v>
      </c>
      <c r="AG199" s="113">
        <f t="shared" ref="AG199:AG206" si="177">AC199-AE199</f>
        <v>3358</v>
      </c>
      <c r="AI199">
        <f t="shared" ref="AI199:AI206" si="178">IF(S199=1,O199-T199,0)</f>
        <v>0</v>
      </c>
      <c r="AJ199">
        <f t="shared" ref="AJ199:AJ206" si="179">IF(S199=2,O199-T199,0)</f>
        <v>0</v>
      </c>
      <c r="AK199">
        <f t="shared" ref="AK199:AK206" si="180">IF(S199=3,O199-T199,0)</f>
        <v>0</v>
      </c>
      <c r="AL199">
        <f t="shared" ref="AL199:AL206" si="181">IF(S199=4,O199-T199,0)</f>
        <v>0</v>
      </c>
      <c r="AN199">
        <f t="shared" ref="AN199:AN206" si="182">IF(S199=1,O199-T199,0)</f>
        <v>0</v>
      </c>
      <c r="AO199">
        <f t="shared" ref="AO199:AO206" si="183">IF(S199=2,O199-T199,0)</f>
        <v>0</v>
      </c>
      <c r="AP199">
        <f t="shared" ref="AP199:AP206" si="184">IF(S199=3,O199-T199,0)</f>
        <v>0</v>
      </c>
      <c r="AQ199">
        <f t="shared" ref="AQ199:AQ206" si="185">IF(S199=4,O199-T199,0)</f>
        <v>0</v>
      </c>
    </row>
    <row r="200" spans="2:43" s="84" customFormat="1" x14ac:dyDescent="0.3">
      <c r="B200" s="103" t="s">
        <v>82</v>
      </c>
      <c r="C200" s="86" t="s">
        <v>42</v>
      </c>
      <c r="D200" s="84" t="s">
        <v>42</v>
      </c>
      <c r="E200" s="84">
        <f t="shared" si="174"/>
        <v>3</v>
      </c>
      <c r="F200" s="84">
        <f t="shared" si="155"/>
        <v>0</v>
      </c>
      <c r="G200" s="108" t="s">
        <v>510</v>
      </c>
      <c r="H200" s="86">
        <v>3</v>
      </c>
      <c r="I200" s="85"/>
      <c r="J200" s="84" t="s">
        <v>63</v>
      </c>
      <c r="K200" s="60" t="s">
        <v>55</v>
      </c>
      <c r="L200" s="60">
        <v>3</v>
      </c>
      <c r="M200" s="96" t="s">
        <v>36</v>
      </c>
      <c r="O200" s="107">
        <v>0</v>
      </c>
      <c r="P200" s="113">
        <f>ROUND((O200*0.4),0)</f>
        <v>0</v>
      </c>
      <c r="Q200" s="85">
        <f t="shared" ref="Q200:Q210" si="186">IF(O200&gt;0,((O200+500)-P200)+T200,0)</f>
        <v>0</v>
      </c>
      <c r="R200" s="57"/>
      <c r="S200" s="89"/>
      <c r="T200" s="89">
        <f t="shared" si="176"/>
        <v>0</v>
      </c>
      <c r="U200" s="87" t="str">
        <f t="shared" si="159"/>
        <v>NONE</v>
      </c>
      <c r="V200" s="97"/>
      <c r="W200" s="90"/>
      <c r="X200" s="89">
        <f t="shared" si="175"/>
        <v>0</v>
      </c>
      <c r="Y200" s="89"/>
      <c r="Z200" s="58">
        <f t="shared" si="161"/>
        <v>0</v>
      </c>
      <c r="AA200" s="58">
        <f t="shared" si="162"/>
        <v>130</v>
      </c>
      <c r="AB200" s="58"/>
      <c r="AC200" s="98">
        <f t="shared" si="163"/>
        <v>-130</v>
      </c>
      <c r="AD200" s="58"/>
      <c r="AE200" s="58">
        <f t="shared" si="164"/>
        <v>0</v>
      </c>
      <c r="AF200" s="58">
        <f>IF(AG200&gt;0,AG97:AG200,0)</f>
        <v>0</v>
      </c>
      <c r="AG200" s="58">
        <f t="shared" si="177"/>
        <v>-130</v>
      </c>
      <c r="AI200" s="84">
        <f t="shared" si="178"/>
        <v>0</v>
      </c>
      <c r="AJ200" s="84">
        <f t="shared" si="179"/>
        <v>0</v>
      </c>
      <c r="AK200" s="84">
        <f t="shared" si="180"/>
        <v>0</v>
      </c>
      <c r="AL200" s="84">
        <f t="shared" si="181"/>
        <v>0</v>
      </c>
      <c r="AN200" s="84">
        <f t="shared" si="182"/>
        <v>0</v>
      </c>
      <c r="AO200" s="84">
        <f t="shared" si="183"/>
        <v>0</v>
      </c>
      <c r="AP200" s="84">
        <f t="shared" si="184"/>
        <v>0</v>
      </c>
      <c r="AQ200" s="84">
        <f t="shared" si="185"/>
        <v>0</v>
      </c>
    </row>
    <row r="201" spans="2:43" x14ac:dyDescent="0.3">
      <c r="B201" s="180" t="s">
        <v>736</v>
      </c>
      <c r="C201" t="s">
        <v>728</v>
      </c>
      <c r="D201" s="84" t="s">
        <v>616</v>
      </c>
      <c r="E201" s="85">
        <f t="shared" si="174"/>
        <v>0</v>
      </c>
      <c r="F201" s="85">
        <f t="shared" si="155"/>
        <v>1</v>
      </c>
      <c r="G201" s="85" t="s">
        <v>735</v>
      </c>
      <c r="H201" s="86">
        <v>4</v>
      </c>
      <c r="I201" s="85"/>
      <c r="J201" s="84" t="s">
        <v>729</v>
      </c>
      <c r="K201" s="84" t="s">
        <v>55</v>
      </c>
      <c r="L201" s="146">
        <v>0</v>
      </c>
      <c r="M201" s="96" t="s">
        <v>36</v>
      </c>
      <c r="N201" s="85"/>
      <c r="O201" s="107">
        <v>1248.3</v>
      </c>
      <c r="P201" s="113">
        <v>624.15</v>
      </c>
      <c r="Q201" s="85">
        <f t="shared" si="186"/>
        <v>1124.1500000000001</v>
      </c>
      <c r="R201" s="153" t="s">
        <v>734</v>
      </c>
      <c r="S201" s="154"/>
      <c r="T201" s="154">
        <f t="shared" si="176"/>
        <v>0</v>
      </c>
      <c r="U201" s="87" t="str">
        <f t="shared" si="159"/>
        <v>NONE</v>
      </c>
      <c r="V201" s="97"/>
      <c r="W201" s="90" t="s">
        <v>788</v>
      </c>
      <c r="X201" s="203">
        <f t="shared" si="175"/>
        <v>1748.3000000000002</v>
      </c>
      <c r="Y201" s="154"/>
      <c r="Z201" s="113">
        <f t="shared" si="161"/>
        <v>0</v>
      </c>
      <c r="AA201" s="113">
        <f t="shared" si="162"/>
        <v>130</v>
      </c>
      <c r="AB201" s="113"/>
      <c r="AC201" s="155">
        <f t="shared" si="163"/>
        <v>1118.3</v>
      </c>
      <c r="AD201" s="113"/>
      <c r="AE201" s="113">
        <f t="shared" si="164"/>
        <v>30</v>
      </c>
      <c r="AF201" s="113">
        <f>IF(AG201&gt;0,AG93:AG201,0)</f>
        <v>1088.3</v>
      </c>
      <c r="AG201" s="113">
        <f t="shared" si="177"/>
        <v>1088.3</v>
      </c>
      <c r="AI201">
        <f t="shared" si="178"/>
        <v>0</v>
      </c>
      <c r="AJ201">
        <f t="shared" si="179"/>
        <v>0</v>
      </c>
      <c r="AK201">
        <f t="shared" si="180"/>
        <v>0</v>
      </c>
      <c r="AL201">
        <f t="shared" si="181"/>
        <v>0</v>
      </c>
      <c r="AN201">
        <f t="shared" si="182"/>
        <v>0</v>
      </c>
      <c r="AO201">
        <f t="shared" si="183"/>
        <v>0</v>
      </c>
      <c r="AP201">
        <f t="shared" si="184"/>
        <v>0</v>
      </c>
      <c r="AQ201">
        <f t="shared" si="185"/>
        <v>0</v>
      </c>
    </row>
    <row r="202" spans="2:43" x14ac:dyDescent="0.3">
      <c r="B202" s="199" t="s">
        <v>787</v>
      </c>
      <c r="C202" s="148" t="s">
        <v>764</v>
      </c>
      <c r="D202" s="84" t="s">
        <v>616</v>
      </c>
      <c r="E202" s="85">
        <f t="shared" si="174"/>
        <v>0</v>
      </c>
      <c r="F202" s="85">
        <f t="shared" si="155"/>
        <v>1</v>
      </c>
      <c r="G202" s="85" t="s">
        <v>665</v>
      </c>
      <c r="H202" s="86">
        <v>7</v>
      </c>
      <c r="I202" s="85"/>
      <c r="J202" s="84" t="s">
        <v>363</v>
      </c>
      <c r="K202" s="84" t="s">
        <v>55</v>
      </c>
      <c r="L202" s="146">
        <v>0</v>
      </c>
      <c r="M202" s="96" t="s">
        <v>36</v>
      </c>
      <c r="N202" s="85"/>
      <c r="O202" s="107">
        <v>1619</v>
      </c>
      <c r="P202" s="113">
        <f t="shared" ref="P202:P223" si="187">ROUND((O202*0.4),0)</f>
        <v>648</v>
      </c>
      <c r="Q202" s="85">
        <f t="shared" si="186"/>
        <v>1554</v>
      </c>
      <c r="R202" s="153" t="s">
        <v>667</v>
      </c>
      <c r="S202" s="154"/>
      <c r="T202" s="154">
        <f t="shared" si="176"/>
        <v>83</v>
      </c>
      <c r="U202" s="87" t="str">
        <f t="shared" si="159"/>
        <v>PAYPAL</v>
      </c>
      <c r="V202" s="97">
        <v>2</v>
      </c>
      <c r="W202" s="146" t="s">
        <v>162</v>
      </c>
      <c r="X202" s="89">
        <f t="shared" si="175"/>
        <v>2202</v>
      </c>
      <c r="Y202" s="154"/>
      <c r="Z202" s="113">
        <f t="shared" si="161"/>
        <v>0</v>
      </c>
      <c r="AA202" s="113">
        <f t="shared" si="162"/>
        <v>130</v>
      </c>
      <c r="AB202" s="113"/>
      <c r="AC202" s="155">
        <f t="shared" si="163"/>
        <v>1572</v>
      </c>
      <c r="AD202" s="113"/>
      <c r="AE202" s="113">
        <f t="shared" si="164"/>
        <v>30</v>
      </c>
      <c r="AF202" s="113">
        <f>IF(AG202&gt;0,AG95:AG202,0)</f>
        <v>1542</v>
      </c>
      <c r="AG202" s="113">
        <f t="shared" si="177"/>
        <v>1542</v>
      </c>
      <c r="AI202">
        <f t="shared" si="178"/>
        <v>0</v>
      </c>
      <c r="AJ202">
        <f t="shared" si="179"/>
        <v>0</v>
      </c>
      <c r="AK202">
        <f t="shared" si="180"/>
        <v>0</v>
      </c>
      <c r="AL202">
        <f t="shared" si="181"/>
        <v>0</v>
      </c>
      <c r="AN202">
        <f t="shared" si="182"/>
        <v>0</v>
      </c>
      <c r="AO202">
        <f t="shared" si="183"/>
        <v>0</v>
      </c>
      <c r="AP202">
        <f t="shared" si="184"/>
        <v>0</v>
      </c>
      <c r="AQ202">
        <f t="shared" si="185"/>
        <v>0</v>
      </c>
    </row>
    <row r="203" spans="2:43" x14ac:dyDescent="0.3">
      <c r="B203" s="147" t="s">
        <v>739</v>
      </c>
      <c r="C203" t="s">
        <v>740</v>
      </c>
      <c r="D203" s="84" t="s">
        <v>61</v>
      </c>
      <c r="E203" s="85">
        <f t="shared" si="174"/>
        <v>0</v>
      </c>
      <c r="F203" s="85">
        <f t="shared" si="155"/>
        <v>1</v>
      </c>
      <c r="G203" s="148" t="s">
        <v>738</v>
      </c>
      <c r="H203" s="86">
        <v>14</v>
      </c>
      <c r="I203" s="85"/>
      <c r="J203" s="84" t="s">
        <v>103</v>
      </c>
      <c r="K203" s="84" t="s">
        <v>55</v>
      </c>
      <c r="L203" s="146">
        <v>0</v>
      </c>
      <c r="M203" s="96" t="s">
        <v>36</v>
      </c>
      <c r="N203" s="85"/>
      <c r="O203" s="107">
        <v>2923</v>
      </c>
      <c r="P203" s="113">
        <f t="shared" si="187"/>
        <v>1169</v>
      </c>
      <c r="Q203" s="85">
        <f t="shared" si="186"/>
        <v>2387</v>
      </c>
      <c r="R203" s="57" t="s">
        <v>666</v>
      </c>
      <c r="S203" s="154"/>
      <c r="T203" s="154">
        <f t="shared" si="176"/>
        <v>133</v>
      </c>
      <c r="U203" s="87" t="str">
        <f t="shared" si="159"/>
        <v>PAYPAL</v>
      </c>
      <c r="V203" s="97">
        <v>2</v>
      </c>
      <c r="W203" s="109" t="s">
        <v>25</v>
      </c>
      <c r="X203" s="89">
        <f t="shared" si="175"/>
        <v>3556</v>
      </c>
      <c r="Y203" s="154"/>
      <c r="Z203" s="113">
        <f t="shared" si="161"/>
        <v>0</v>
      </c>
      <c r="AA203" s="113">
        <f t="shared" si="162"/>
        <v>130</v>
      </c>
      <c r="AB203" s="113"/>
      <c r="AC203" s="155">
        <f t="shared" si="163"/>
        <v>2926</v>
      </c>
      <c r="AD203" s="113"/>
      <c r="AE203" s="113">
        <f t="shared" si="164"/>
        <v>30</v>
      </c>
      <c r="AF203" s="113">
        <f>IF(AG203&gt;0,AG95:AG215,0)</f>
        <v>2896</v>
      </c>
      <c r="AG203" s="113">
        <f t="shared" si="177"/>
        <v>2896</v>
      </c>
      <c r="AI203">
        <f t="shared" si="178"/>
        <v>0</v>
      </c>
      <c r="AJ203">
        <f t="shared" si="179"/>
        <v>0</v>
      </c>
      <c r="AK203">
        <f t="shared" si="180"/>
        <v>0</v>
      </c>
      <c r="AL203">
        <f t="shared" si="181"/>
        <v>0</v>
      </c>
      <c r="AN203">
        <f t="shared" si="182"/>
        <v>0</v>
      </c>
      <c r="AO203">
        <f t="shared" si="183"/>
        <v>0</v>
      </c>
      <c r="AP203">
        <f t="shared" si="184"/>
        <v>0</v>
      </c>
      <c r="AQ203">
        <f t="shared" si="185"/>
        <v>0</v>
      </c>
    </row>
    <row r="204" spans="2:43" ht="13.2" customHeight="1" x14ac:dyDescent="0.3">
      <c r="B204" s="103" t="s">
        <v>82</v>
      </c>
      <c r="C204" s="86" t="s">
        <v>42</v>
      </c>
      <c r="D204" s="84" t="s">
        <v>42</v>
      </c>
      <c r="E204" s="85">
        <f t="shared" si="174"/>
        <v>2</v>
      </c>
      <c r="F204" s="85">
        <f t="shared" si="155"/>
        <v>0</v>
      </c>
      <c r="G204" s="195" t="s">
        <v>672</v>
      </c>
      <c r="H204" s="86">
        <v>2</v>
      </c>
      <c r="I204" s="85"/>
      <c r="J204" s="84" t="s">
        <v>639</v>
      </c>
      <c r="K204" s="84" t="s">
        <v>55</v>
      </c>
      <c r="L204" s="146">
        <v>3</v>
      </c>
      <c r="M204" s="96" t="s">
        <v>36</v>
      </c>
      <c r="N204" s="85"/>
      <c r="O204" s="107">
        <v>0</v>
      </c>
      <c r="P204" s="113">
        <f t="shared" si="187"/>
        <v>0</v>
      </c>
      <c r="Q204" s="85">
        <f t="shared" si="186"/>
        <v>0</v>
      </c>
      <c r="R204" s="153"/>
      <c r="S204" s="154"/>
      <c r="T204" s="154">
        <f t="shared" si="176"/>
        <v>0</v>
      </c>
      <c r="U204" s="87" t="str">
        <f t="shared" si="159"/>
        <v>NONE</v>
      </c>
      <c r="V204" s="97"/>
      <c r="W204" s="146"/>
      <c r="X204" s="89">
        <f t="shared" si="175"/>
        <v>0</v>
      </c>
      <c r="Y204" s="154"/>
      <c r="Z204" s="113">
        <f t="shared" si="161"/>
        <v>0</v>
      </c>
      <c r="AA204" s="113">
        <f t="shared" si="162"/>
        <v>130</v>
      </c>
      <c r="AB204" s="113"/>
      <c r="AC204" s="155">
        <f t="shared" si="163"/>
        <v>-130</v>
      </c>
      <c r="AD204" s="113"/>
      <c r="AE204" s="113">
        <f t="shared" si="164"/>
        <v>0</v>
      </c>
      <c r="AF204" s="113">
        <f>IF(AG204&gt;0,AG98:AG204,0)</f>
        <v>0</v>
      </c>
      <c r="AG204" s="113">
        <f t="shared" si="177"/>
        <v>-130</v>
      </c>
      <c r="AI204">
        <f t="shared" si="178"/>
        <v>0</v>
      </c>
      <c r="AJ204">
        <f t="shared" si="179"/>
        <v>0</v>
      </c>
      <c r="AK204">
        <f t="shared" si="180"/>
        <v>0</v>
      </c>
      <c r="AL204">
        <f t="shared" si="181"/>
        <v>0</v>
      </c>
      <c r="AN204">
        <f t="shared" si="182"/>
        <v>0</v>
      </c>
      <c r="AO204">
        <f t="shared" si="183"/>
        <v>0</v>
      </c>
      <c r="AP204">
        <f t="shared" si="184"/>
        <v>0</v>
      </c>
      <c r="AQ204">
        <f t="shared" si="185"/>
        <v>0</v>
      </c>
    </row>
    <row r="205" spans="2:43" s="84" customFormat="1" x14ac:dyDescent="0.3">
      <c r="B205" s="86" t="s">
        <v>811</v>
      </c>
      <c r="C205" t="s">
        <v>561</v>
      </c>
      <c r="D205" s="84" t="s">
        <v>370</v>
      </c>
      <c r="E205" s="84">
        <f t="shared" si="174"/>
        <v>0</v>
      </c>
      <c r="F205" s="84">
        <f t="shared" si="155"/>
        <v>1</v>
      </c>
      <c r="G205" s="84" t="s">
        <v>678</v>
      </c>
      <c r="H205" s="86">
        <v>8</v>
      </c>
      <c r="I205" s="85"/>
      <c r="J205" s="84" t="s">
        <v>74</v>
      </c>
      <c r="K205" s="84" t="s">
        <v>55</v>
      </c>
      <c r="L205" s="109">
        <v>0</v>
      </c>
      <c r="M205" s="96" t="s">
        <v>36</v>
      </c>
      <c r="O205" s="107">
        <v>1784</v>
      </c>
      <c r="P205" s="113">
        <f t="shared" si="187"/>
        <v>714</v>
      </c>
      <c r="Q205" s="85">
        <f t="shared" si="186"/>
        <v>1659</v>
      </c>
      <c r="R205" s="57" t="s">
        <v>677</v>
      </c>
      <c r="S205" s="89"/>
      <c r="T205" s="89">
        <f t="shared" si="176"/>
        <v>89</v>
      </c>
      <c r="U205" s="87" t="str">
        <f t="shared" si="159"/>
        <v>PAYPAL</v>
      </c>
      <c r="V205" s="97">
        <v>2</v>
      </c>
      <c r="W205" s="90" t="s">
        <v>162</v>
      </c>
      <c r="X205" s="89">
        <f t="shared" si="175"/>
        <v>2373</v>
      </c>
      <c r="Y205" s="89"/>
      <c r="Z205" s="58">
        <f t="shared" si="161"/>
        <v>0</v>
      </c>
      <c r="AA205" s="58">
        <f t="shared" si="162"/>
        <v>130</v>
      </c>
      <c r="AB205" s="58"/>
      <c r="AC205" s="98">
        <f t="shared" si="163"/>
        <v>1743</v>
      </c>
      <c r="AD205" s="58"/>
      <c r="AE205" s="58">
        <f t="shared" si="164"/>
        <v>30</v>
      </c>
      <c r="AF205" s="58">
        <f>IF(AG205&gt;0,AG98:AG205,0)</f>
        <v>1713</v>
      </c>
      <c r="AG205" s="58">
        <f t="shared" si="177"/>
        <v>1713</v>
      </c>
      <c r="AI205" s="84">
        <f t="shared" si="178"/>
        <v>0</v>
      </c>
      <c r="AJ205" s="84">
        <f t="shared" si="179"/>
        <v>0</v>
      </c>
      <c r="AK205" s="84">
        <f t="shared" si="180"/>
        <v>0</v>
      </c>
      <c r="AL205" s="84">
        <f t="shared" si="181"/>
        <v>0</v>
      </c>
      <c r="AN205" s="84">
        <f t="shared" si="182"/>
        <v>0</v>
      </c>
      <c r="AO205" s="84">
        <f t="shared" si="183"/>
        <v>0</v>
      </c>
      <c r="AP205" s="84">
        <f t="shared" si="184"/>
        <v>0</v>
      </c>
      <c r="AQ205" s="84">
        <f t="shared" si="185"/>
        <v>0</v>
      </c>
    </row>
    <row r="206" spans="2:43" x14ac:dyDescent="0.3">
      <c r="B206" s="86" t="s">
        <v>758</v>
      </c>
      <c r="C206" t="s">
        <v>759</v>
      </c>
      <c r="D206" s="85" t="s">
        <v>370</v>
      </c>
      <c r="E206" s="84">
        <f t="shared" si="174"/>
        <v>0</v>
      </c>
      <c r="F206" s="84">
        <f t="shared" si="155"/>
        <v>1</v>
      </c>
      <c r="G206" s="85" t="s">
        <v>760</v>
      </c>
      <c r="H206" s="86">
        <v>6</v>
      </c>
      <c r="I206" s="85"/>
      <c r="J206" s="84" t="s">
        <v>74</v>
      </c>
      <c r="K206" s="84" t="s">
        <v>55</v>
      </c>
      <c r="L206" s="90">
        <v>0</v>
      </c>
      <c r="M206" s="96" t="s">
        <v>36</v>
      </c>
      <c r="N206" s="84"/>
      <c r="O206" s="107">
        <v>1557.87</v>
      </c>
      <c r="P206" s="113">
        <v>778.94</v>
      </c>
      <c r="Q206" s="85">
        <f t="shared" si="186"/>
        <v>1278.9299999999998</v>
      </c>
      <c r="R206" s="57" t="s">
        <v>761</v>
      </c>
      <c r="S206" s="89"/>
      <c r="T206" s="89">
        <f t="shared" si="176"/>
        <v>0</v>
      </c>
      <c r="U206" s="87" t="str">
        <f t="shared" si="159"/>
        <v>NONE</v>
      </c>
      <c r="V206" s="97"/>
      <c r="W206" s="214" t="s">
        <v>812</v>
      </c>
      <c r="X206" s="203">
        <f t="shared" si="175"/>
        <v>2057.87</v>
      </c>
      <c r="Y206" s="89"/>
      <c r="Z206" s="58">
        <f t="shared" si="161"/>
        <v>0</v>
      </c>
      <c r="AA206" s="58">
        <f t="shared" si="162"/>
        <v>130</v>
      </c>
      <c r="AB206" s="58"/>
      <c r="AC206" s="98">
        <f t="shared" si="163"/>
        <v>1427.87</v>
      </c>
      <c r="AD206" s="58"/>
      <c r="AE206" s="58">
        <f t="shared" si="164"/>
        <v>30</v>
      </c>
      <c r="AF206" s="58">
        <f>IF(AG206&gt;0,AG98:AG206,0)</f>
        <v>1397.87</v>
      </c>
      <c r="AG206" s="58">
        <f t="shared" si="177"/>
        <v>1397.87</v>
      </c>
      <c r="AI206">
        <f t="shared" si="178"/>
        <v>0</v>
      </c>
      <c r="AJ206">
        <f t="shared" si="179"/>
        <v>0</v>
      </c>
      <c r="AK206">
        <f t="shared" si="180"/>
        <v>0</v>
      </c>
      <c r="AL206">
        <f t="shared" si="181"/>
        <v>0</v>
      </c>
      <c r="AN206">
        <f t="shared" si="182"/>
        <v>0</v>
      </c>
      <c r="AO206">
        <f t="shared" si="183"/>
        <v>0</v>
      </c>
      <c r="AP206">
        <f t="shared" si="184"/>
        <v>0</v>
      </c>
      <c r="AQ206">
        <f t="shared" si="185"/>
        <v>0</v>
      </c>
    </row>
    <row r="207" spans="2:43" x14ac:dyDescent="0.3">
      <c r="B207" s="103" t="s">
        <v>82</v>
      </c>
      <c r="C207" s="86" t="s">
        <v>42</v>
      </c>
      <c r="D207" s="84" t="s">
        <v>42</v>
      </c>
      <c r="E207" s="85">
        <f t="shared" ref="E207:E223" si="188">IF(D207=$B$12,H207,0)</f>
        <v>25</v>
      </c>
      <c r="F207" s="85">
        <f t="shared" ref="F207:F223" si="189">IF(E207&gt;0,0,1)</f>
        <v>0</v>
      </c>
      <c r="G207" s="108" t="s">
        <v>797</v>
      </c>
      <c r="H207" s="86">
        <v>25</v>
      </c>
      <c r="I207" s="85"/>
      <c r="J207" s="84" t="s">
        <v>639</v>
      </c>
      <c r="K207" s="84" t="s">
        <v>55</v>
      </c>
      <c r="L207" s="146">
        <v>3</v>
      </c>
      <c r="M207" s="96" t="s">
        <v>36</v>
      </c>
      <c r="N207" s="85"/>
      <c r="O207" s="107">
        <v>0</v>
      </c>
      <c r="P207" s="113">
        <f t="shared" si="187"/>
        <v>0</v>
      </c>
      <c r="Q207" s="85">
        <f t="shared" si="186"/>
        <v>0</v>
      </c>
      <c r="R207" s="153"/>
      <c r="S207" s="154"/>
      <c r="T207" s="154">
        <f t="shared" ref="T207:T223" si="190">IF(U207=$AD$2,47,IF(U207=$AD$1,ROUND(((O207+500)*0.039),0),IF(U207=$AD$3,0)))</f>
        <v>0</v>
      </c>
      <c r="U207" s="87" t="str">
        <f t="shared" ref="U207:U223" si="191">IF(V207=1,$AD$2,IF(V207=2,$AD$1,IF(AND(V207&lt;&gt;1,V207&lt;&gt;20)=TRUE,$AD$3)))</f>
        <v>NONE</v>
      </c>
      <c r="V207" s="97"/>
      <c r="W207" s="146"/>
      <c r="X207" s="89">
        <f t="shared" si="175"/>
        <v>0</v>
      </c>
      <c r="Y207" s="154"/>
      <c r="Z207" s="113">
        <f t="shared" ref="Z207:Z223" si="192">IF(W207=$Z$1,Q207-500,0)</f>
        <v>0</v>
      </c>
      <c r="AA207" s="113">
        <f t="shared" ref="AA207:AA223" si="193">IF(H207&gt;0,130,0)</f>
        <v>130</v>
      </c>
      <c r="AB207" s="113"/>
      <c r="AC207" s="155">
        <f t="shared" ref="AC207:AC223" si="194">(O207+T207)-AA207</f>
        <v>-130</v>
      </c>
      <c r="AD207" s="113"/>
      <c r="AE207" s="113">
        <f t="shared" ref="AE207:AE223" si="195">IF(H207&gt;0,30*F207,0)</f>
        <v>0</v>
      </c>
      <c r="AF207" s="113">
        <f>IF(AG207&gt;0,AG99:AG207,0)</f>
        <v>0</v>
      </c>
      <c r="AG207" s="113">
        <f t="shared" ref="AG207:AG223" si="196">AC207-AE207</f>
        <v>-130</v>
      </c>
      <c r="AI207">
        <f t="shared" ref="AI207:AI223" si="197">IF(S207=1,O207-T207,0)</f>
        <v>0</v>
      </c>
      <c r="AJ207">
        <f t="shared" ref="AJ207:AJ223" si="198">IF(S207=2,O207-T207,0)</f>
        <v>0</v>
      </c>
      <c r="AK207">
        <f t="shared" ref="AK207:AK223" si="199">IF(S207=3,O207-T207,0)</f>
        <v>0</v>
      </c>
      <c r="AL207">
        <f t="shared" ref="AL207:AL223" si="200">IF(S207=4,O207-T207,0)</f>
        <v>0</v>
      </c>
      <c r="AN207">
        <f t="shared" ref="AN207:AN223" si="201">IF(S207=1,O207-T207,0)</f>
        <v>0</v>
      </c>
      <c r="AO207">
        <f t="shared" ref="AO207:AO223" si="202">IF(S207=2,O207-T207,0)</f>
        <v>0</v>
      </c>
      <c r="AP207">
        <f t="shared" ref="AP207:AP223" si="203">IF(S207=3,O207-T207,0)</f>
        <v>0</v>
      </c>
      <c r="AQ207">
        <f t="shared" ref="AQ207:AQ223" si="204">IF(S207=4,O207-T207,0)</f>
        <v>0</v>
      </c>
    </row>
    <row r="208" spans="2:43" x14ac:dyDescent="0.3">
      <c r="B208" s="86" t="s">
        <v>603</v>
      </c>
      <c r="C208" t="s">
        <v>687</v>
      </c>
      <c r="D208" s="84" t="s">
        <v>30</v>
      </c>
      <c r="E208" s="85">
        <f>IF(D208=$B$12,H208,0)</f>
        <v>0</v>
      </c>
      <c r="F208" s="85">
        <f>IF(E208&gt;0,0,1)</f>
        <v>1</v>
      </c>
      <c r="G208" s="84" t="s">
        <v>685</v>
      </c>
      <c r="H208" s="86">
        <v>14</v>
      </c>
      <c r="I208" s="85"/>
      <c r="J208" s="84" t="s">
        <v>604</v>
      </c>
      <c r="K208" s="84" t="s">
        <v>55</v>
      </c>
      <c r="L208" s="146">
        <v>0</v>
      </c>
      <c r="M208" s="96" t="s">
        <v>36</v>
      </c>
      <c r="N208" s="85"/>
      <c r="O208" s="107">
        <v>2978</v>
      </c>
      <c r="P208" s="113">
        <f>ROUND((O208*0.4),0)</f>
        <v>1191</v>
      </c>
      <c r="Q208" s="85">
        <f t="shared" si="186"/>
        <v>2423</v>
      </c>
      <c r="R208" s="153" t="s">
        <v>686</v>
      </c>
      <c r="S208" s="154"/>
      <c r="T208" s="154">
        <f>IF(U208=$AD$2,47,IF(U208=$AD$1,ROUND(((O208+500)*0.039),0),IF(U208=$AD$3,0)))</f>
        <v>136</v>
      </c>
      <c r="U208" s="87" t="str">
        <f>IF(V208=1,$AD$2,IF(V208=2,$AD$1,IF(AND(V208&lt;&gt;1,V208&lt;&gt;20)=TRUE,$AD$3)))</f>
        <v>PAYPAL</v>
      </c>
      <c r="V208" s="97">
        <v>2</v>
      </c>
      <c r="W208" s="90" t="s">
        <v>834</v>
      </c>
      <c r="X208" s="89">
        <f t="shared" si="175"/>
        <v>3614</v>
      </c>
      <c r="Y208" s="154"/>
      <c r="Z208" s="113">
        <f>IF(W208=$Z$1,Q208-500,0)</f>
        <v>0</v>
      </c>
      <c r="AA208" s="113">
        <f>IF(H208&gt;0,130,0)</f>
        <v>130</v>
      </c>
      <c r="AB208" s="113"/>
      <c r="AC208" s="155">
        <f>(O208+T208)-AA208</f>
        <v>2984</v>
      </c>
      <c r="AD208" s="113"/>
      <c r="AE208" s="113">
        <f>IF(H208&gt;0,30*F208,0)</f>
        <v>30</v>
      </c>
      <c r="AF208" s="113">
        <f>IF(AG208&gt;0,AG98:AG215,0)</f>
        <v>2954</v>
      </c>
      <c r="AG208" s="113">
        <f>AC208-AE208</f>
        <v>2954</v>
      </c>
      <c r="AI208">
        <f>IF(S208=1,O208-T208,0)</f>
        <v>0</v>
      </c>
      <c r="AJ208">
        <f>IF(S208=2,O208-T208,0)</f>
        <v>0</v>
      </c>
      <c r="AK208">
        <f>IF(S208=3,O208-T208,0)</f>
        <v>0</v>
      </c>
      <c r="AL208">
        <f>IF(S208=4,O208-T208,0)</f>
        <v>0</v>
      </c>
      <c r="AN208">
        <f>IF(S208=1,O208-T208,0)</f>
        <v>0</v>
      </c>
      <c r="AO208">
        <f>IF(S208=2,O208-T208,0)</f>
        <v>0</v>
      </c>
      <c r="AP208">
        <f>IF(S208=3,O208-T208,0)</f>
        <v>0</v>
      </c>
      <c r="AQ208">
        <f>IF(S208=4,O208-T208,0)</f>
        <v>0</v>
      </c>
    </row>
    <row r="209" spans="1:44" x14ac:dyDescent="0.3">
      <c r="B209" s="86" t="s">
        <v>837</v>
      </c>
      <c r="C209" s="84" t="s">
        <v>775</v>
      </c>
      <c r="D209" s="84" t="s">
        <v>616</v>
      </c>
      <c r="E209" s="85">
        <f>IF(D209=$B$12,H209,0)</f>
        <v>0</v>
      </c>
      <c r="F209" s="85">
        <f>IF(E209&gt;0,0,1)</f>
        <v>1</v>
      </c>
      <c r="G209" s="84" t="s">
        <v>776</v>
      </c>
      <c r="H209" s="86">
        <v>6</v>
      </c>
      <c r="I209" s="85"/>
      <c r="J209" s="84" t="s">
        <v>777</v>
      </c>
      <c r="K209" s="84" t="s">
        <v>55</v>
      </c>
      <c r="L209" s="146">
        <v>0</v>
      </c>
      <c r="M209" s="96" t="s">
        <v>36</v>
      </c>
      <c r="N209" s="85"/>
      <c r="O209" s="107">
        <v>1455.36</v>
      </c>
      <c r="P209" s="113">
        <v>727.68</v>
      </c>
      <c r="Q209" s="85">
        <f t="shared" si="186"/>
        <v>1227.6799999999998</v>
      </c>
      <c r="R209" s="57" t="s">
        <v>778</v>
      </c>
      <c r="S209" s="154"/>
      <c r="T209" s="154">
        <v>0</v>
      </c>
      <c r="U209" s="87" t="str">
        <f>IF(V209=1,$AD$2,IF(V209=2,$AD$1,IF(AND(V209&lt;&gt;1,V209&lt;&gt;20)=TRUE,$AD$3)))</f>
        <v>PAYPAL</v>
      </c>
      <c r="V209" s="97">
        <v>2</v>
      </c>
      <c r="W209" s="214" t="s">
        <v>836</v>
      </c>
      <c r="X209" s="89">
        <f t="shared" si="175"/>
        <v>1955.3599999999997</v>
      </c>
      <c r="Y209" s="154"/>
      <c r="Z209" s="113">
        <f>IF(W209=$Z$1,Q209-500,0)</f>
        <v>0</v>
      </c>
      <c r="AA209" s="113">
        <f>IF(H209&gt;0,130,0)</f>
        <v>130</v>
      </c>
      <c r="AB209" s="113"/>
      <c r="AC209" s="155">
        <f>(O209+T209)-AA209</f>
        <v>1325.36</v>
      </c>
      <c r="AD209" s="113"/>
      <c r="AE209" s="113">
        <f>IF(H209&gt;0,30*F209,0)</f>
        <v>30</v>
      </c>
      <c r="AF209" s="113">
        <f>IF(AG209&gt;0,AG99:AG217,0)</f>
        <v>1295.3599999999999</v>
      </c>
      <c r="AG209" s="113">
        <f>AC209-AE209</f>
        <v>1295.3599999999999</v>
      </c>
      <c r="AI209">
        <f>IF(S209=1,O209-T209,0)</f>
        <v>0</v>
      </c>
      <c r="AJ209">
        <f>IF(S209=2,O209-T209,0)</f>
        <v>0</v>
      </c>
      <c r="AK209">
        <f>IF(S209=3,O209-T209,0)</f>
        <v>0</v>
      </c>
      <c r="AL209">
        <f>IF(S209=4,O209-T209,0)</f>
        <v>0</v>
      </c>
      <c r="AN209">
        <f>IF(S209=1,O209-T209,0)</f>
        <v>0</v>
      </c>
      <c r="AO209">
        <f>IF(S209=2,O209-T209,0)</f>
        <v>0</v>
      </c>
      <c r="AP209">
        <f>IF(S209=3,O209-T209,0)</f>
        <v>0</v>
      </c>
      <c r="AQ209">
        <f>IF(S209=4,O209-T209,0)</f>
        <v>0</v>
      </c>
    </row>
    <row r="210" spans="1:44" x14ac:dyDescent="0.3">
      <c r="B210" s="103" t="s">
        <v>82</v>
      </c>
      <c r="C210" s="86" t="s">
        <v>737</v>
      </c>
      <c r="D210" s="84" t="s">
        <v>42</v>
      </c>
      <c r="E210" s="85">
        <f t="shared" si="188"/>
        <v>3</v>
      </c>
      <c r="F210" s="85">
        <f t="shared" si="189"/>
        <v>0</v>
      </c>
      <c r="G210" s="108" t="s">
        <v>673</v>
      </c>
      <c r="H210" s="86">
        <v>3</v>
      </c>
      <c r="I210" s="85"/>
      <c r="J210" s="84" t="s">
        <v>639</v>
      </c>
      <c r="K210" s="84" t="s">
        <v>55</v>
      </c>
      <c r="L210" s="146">
        <v>3</v>
      </c>
      <c r="M210" s="96" t="s">
        <v>36</v>
      </c>
      <c r="N210" s="85"/>
      <c r="O210" s="107">
        <v>0</v>
      </c>
      <c r="P210" s="113">
        <f t="shared" si="187"/>
        <v>0</v>
      </c>
      <c r="Q210" s="85">
        <f t="shared" si="186"/>
        <v>0</v>
      </c>
      <c r="R210" s="179"/>
      <c r="S210" s="154"/>
      <c r="T210" s="154">
        <f t="shared" si="190"/>
        <v>0</v>
      </c>
      <c r="U210" s="87" t="str">
        <f t="shared" si="191"/>
        <v>NONE</v>
      </c>
      <c r="V210" s="97"/>
      <c r="W210" s="90"/>
      <c r="X210" s="89">
        <f t="shared" si="175"/>
        <v>0</v>
      </c>
      <c r="Y210" s="154"/>
      <c r="Z210" s="113">
        <f t="shared" si="192"/>
        <v>0</v>
      </c>
      <c r="AA210" s="113">
        <f t="shared" si="193"/>
        <v>130</v>
      </c>
      <c r="AB210" s="113"/>
      <c r="AC210" s="155">
        <f t="shared" si="194"/>
        <v>-130</v>
      </c>
      <c r="AD210" s="113"/>
      <c r="AE210" s="113">
        <f t="shared" si="195"/>
        <v>0</v>
      </c>
      <c r="AF210" s="113">
        <f>IF(AG210&gt;0,AG100:AG210,0)</f>
        <v>0</v>
      </c>
      <c r="AG210" s="113">
        <f t="shared" si="196"/>
        <v>-130</v>
      </c>
      <c r="AI210">
        <f t="shared" si="197"/>
        <v>0</v>
      </c>
      <c r="AJ210">
        <f t="shared" si="198"/>
        <v>0</v>
      </c>
      <c r="AK210">
        <f t="shared" si="199"/>
        <v>0</v>
      </c>
      <c r="AL210">
        <f t="shared" si="200"/>
        <v>0</v>
      </c>
      <c r="AN210">
        <f t="shared" si="201"/>
        <v>0</v>
      </c>
      <c r="AO210">
        <f t="shared" si="202"/>
        <v>0</v>
      </c>
      <c r="AP210">
        <f t="shared" si="203"/>
        <v>0</v>
      </c>
      <c r="AQ210">
        <f t="shared" si="204"/>
        <v>0</v>
      </c>
    </row>
    <row r="211" spans="1:44" ht="13.95" customHeight="1" x14ac:dyDescent="0.3">
      <c r="B211" s="219" t="s">
        <v>838</v>
      </c>
      <c r="C211" s="84" t="s">
        <v>332</v>
      </c>
      <c r="D211" s="84" t="s">
        <v>30</v>
      </c>
      <c r="E211" s="85">
        <f>IF(D211=$B$12,H211,0)</f>
        <v>0</v>
      </c>
      <c r="F211" s="85">
        <f>IF(E211&gt;0,0,1)</f>
        <v>1</v>
      </c>
      <c r="G211" s="148" t="s">
        <v>676</v>
      </c>
      <c r="H211" s="86">
        <v>18</v>
      </c>
      <c r="I211" s="85"/>
      <c r="J211" s="84" t="s">
        <v>654</v>
      </c>
      <c r="K211" s="84" t="s">
        <v>55</v>
      </c>
      <c r="L211" s="146">
        <v>0</v>
      </c>
      <c r="M211" s="96" t="s">
        <v>36</v>
      </c>
      <c r="N211" s="85"/>
      <c r="O211" s="107">
        <v>3309</v>
      </c>
      <c r="P211" s="113">
        <f t="shared" si="187"/>
        <v>1324</v>
      </c>
      <c r="Q211" s="85">
        <f>IF(O211&gt;0,((O211+500)-P211)+T211,0)+300</f>
        <v>2934</v>
      </c>
      <c r="R211" s="153" t="s">
        <v>655</v>
      </c>
      <c r="S211" s="154"/>
      <c r="T211" s="154">
        <f>IF(U211=$AD$2,47,IF(U211=$AD$1,ROUND(((O211+500)*0.039),0),IF(U211=$AD$3,0)))</f>
        <v>149</v>
      </c>
      <c r="U211" s="87" t="str">
        <f>IF(V211=1,$AD$2,IF(V211=2,$AD$1,IF(AND(V211&lt;&gt;1,V211&lt;&gt;20)=TRUE,$AD$3)))</f>
        <v>PAYPAL</v>
      </c>
      <c r="V211" s="97">
        <v>2</v>
      </c>
      <c r="W211" s="109" t="s">
        <v>840</v>
      </c>
      <c r="X211" s="89">
        <f t="shared" si="175"/>
        <v>4258</v>
      </c>
      <c r="Y211" s="154"/>
      <c r="Z211" s="113">
        <f>IF(W211=$Z$1,Q211-500,0)</f>
        <v>0</v>
      </c>
      <c r="AA211" s="113">
        <f>IF(H211&gt;0,130,0)</f>
        <v>130</v>
      </c>
      <c r="AB211" s="113"/>
      <c r="AC211" s="155">
        <f>(O211+T211)-AA211</f>
        <v>3328</v>
      </c>
      <c r="AD211" s="113"/>
      <c r="AE211" s="113">
        <f>IF(H211&gt;0,30*F211,0)</f>
        <v>30</v>
      </c>
      <c r="AF211" s="113">
        <f>IF(AG211&gt;0,AG98:AG211,0)</f>
        <v>3298</v>
      </c>
      <c r="AG211" s="113">
        <f>AC211-AE211</f>
        <v>3298</v>
      </c>
      <c r="AI211">
        <f>IF(S211=1,O211-T211,0)</f>
        <v>0</v>
      </c>
      <c r="AJ211">
        <f>IF(S211=2,O211-T211,0)</f>
        <v>0</v>
      </c>
      <c r="AK211">
        <f>IF(S211=3,O211-T211,0)</f>
        <v>0</v>
      </c>
      <c r="AL211">
        <f>IF(S211=4,O211-T211,0)</f>
        <v>0</v>
      </c>
      <c r="AN211">
        <f>IF(S211=1,O211-T211,0)</f>
        <v>0</v>
      </c>
      <c r="AO211">
        <f>IF(S211=2,O211-T211,0)</f>
        <v>0</v>
      </c>
      <c r="AP211">
        <f>IF(S211=3,O211-T211,0)</f>
        <v>0</v>
      </c>
      <c r="AQ211">
        <f>IF(S211=4,O211-T211,0)</f>
        <v>0</v>
      </c>
    </row>
    <row r="212" spans="1:44" x14ac:dyDescent="0.3">
      <c r="B212" s="86" t="s">
        <v>742</v>
      </c>
      <c r="C212" t="s">
        <v>743</v>
      </c>
      <c r="D212" s="84"/>
      <c r="E212" s="85">
        <f>IF(D212=$B$12,H212,0)</f>
        <v>0</v>
      </c>
      <c r="F212" s="85">
        <f>IF(E212&gt;0,0,1)</f>
        <v>1</v>
      </c>
      <c r="G212" s="148" t="s">
        <v>741</v>
      </c>
      <c r="H212" s="86">
        <v>8</v>
      </c>
      <c r="I212" s="85"/>
      <c r="J212" s="84" t="s">
        <v>108</v>
      </c>
      <c r="K212" s="84" t="s">
        <v>55</v>
      </c>
      <c r="L212" s="146">
        <v>0</v>
      </c>
      <c r="M212" s="96" t="s">
        <v>36</v>
      </c>
      <c r="N212" s="85"/>
      <c r="O212" s="107">
        <v>1920</v>
      </c>
      <c r="P212" s="113">
        <f t="shared" si="187"/>
        <v>768</v>
      </c>
      <c r="Q212" s="85">
        <f t="shared" ref="Q212:Q223" si="205">IF(O212&gt;0,((O212+500)-P212)+T212,0)</f>
        <v>1652</v>
      </c>
      <c r="R212" s="153" t="s">
        <v>744</v>
      </c>
      <c r="S212" s="154"/>
      <c r="T212" s="154">
        <f>IF(U212=$AD$2,47,IF(U212=$AD$1,ROUND(((O212+500)*0.039),0),IF(U212=$AD$3,0)))</f>
        <v>0</v>
      </c>
      <c r="U212" s="87" t="str">
        <f>IF(V212=1,$AD$2,IF(V212=2,$AD$1,IF(AND(V212&lt;&gt;1,V212&lt;&gt;20)=TRUE,$AD$3)))</f>
        <v>NONE</v>
      </c>
      <c r="V212" s="97"/>
      <c r="W212" s="146" t="s">
        <v>842</v>
      </c>
      <c r="X212" s="89">
        <f t="shared" si="175"/>
        <v>2420</v>
      </c>
      <c r="Y212" s="154"/>
      <c r="Z212" s="113">
        <f>IF(W212=$Z$1,Q212-500,0)</f>
        <v>0</v>
      </c>
      <c r="AA212" s="113">
        <f>IF(H212&gt;0,130,0)</f>
        <v>130</v>
      </c>
      <c r="AB212" s="113"/>
      <c r="AC212" s="155">
        <f>(O212+T212)-AA212</f>
        <v>1790</v>
      </c>
      <c r="AD212" s="113"/>
      <c r="AE212" s="113">
        <f>IF(H212&gt;0,30*F212,0)</f>
        <v>30</v>
      </c>
      <c r="AF212" s="113">
        <f>IF(AG212&gt;0,AG100:AG218,0)</f>
        <v>1760</v>
      </c>
      <c r="AG212" s="113">
        <f>AC212-AE212</f>
        <v>1760</v>
      </c>
      <c r="AI212">
        <f>IF(S212=1,O212-T212,0)</f>
        <v>0</v>
      </c>
      <c r="AJ212">
        <f>IF(S212=2,O212-T212,0)</f>
        <v>0</v>
      </c>
      <c r="AK212">
        <f>IF(S212=3,O212-T212,0)</f>
        <v>0</v>
      </c>
      <c r="AL212">
        <f>IF(S212=4,O212-T212,0)</f>
        <v>0</v>
      </c>
      <c r="AN212">
        <f>IF(S212=1,O212-T212,0)</f>
        <v>0</v>
      </c>
      <c r="AO212">
        <f>IF(S212=2,O212-T212,0)</f>
        <v>0</v>
      </c>
      <c r="AP212">
        <f>IF(S212=3,O212-T212,0)</f>
        <v>0</v>
      </c>
      <c r="AQ212">
        <f>IF(S212=4,O212-T212,0)</f>
        <v>0</v>
      </c>
    </row>
    <row r="213" spans="1:44" x14ac:dyDescent="0.3">
      <c r="B213" s="103" t="s">
        <v>810</v>
      </c>
      <c r="C213" s="86" t="s">
        <v>42</v>
      </c>
      <c r="D213" s="84" t="s">
        <v>42</v>
      </c>
      <c r="E213" s="85">
        <f t="shared" si="188"/>
        <v>3</v>
      </c>
      <c r="F213" s="85">
        <f t="shared" si="189"/>
        <v>0</v>
      </c>
      <c r="G213" s="108" t="s">
        <v>806</v>
      </c>
      <c r="H213" s="86">
        <v>3</v>
      </c>
      <c r="I213" s="85"/>
      <c r="J213" s="84" t="s">
        <v>639</v>
      </c>
      <c r="K213" s="84" t="s">
        <v>55</v>
      </c>
      <c r="L213" s="146">
        <v>3</v>
      </c>
      <c r="M213" s="96" t="s">
        <v>36</v>
      </c>
      <c r="N213" s="85"/>
      <c r="O213" s="107">
        <v>0</v>
      </c>
      <c r="P213" s="113">
        <f t="shared" si="187"/>
        <v>0</v>
      </c>
      <c r="Q213" s="85">
        <f t="shared" si="205"/>
        <v>0</v>
      </c>
      <c r="R213" s="153"/>
      <c r="S213" s="154"/>
      <c r="T213" s="154">
        <f t="shared" si="190"/>
        <v>0</v>
      </c>
      <c r="U213" s="87" t="str">
        <f t="shared" si="191"/>
        <v>NONE</v>
      </c>
      <c r="V213" s="97"/>
      <c r="W213" s="146"/>
      <c r="X213" s="89">
        <f t="shared" si="175"/>
        <v>0</v>
      </c>
      <c r="Y213" s="154"/>
      <c r="Z213" s="113">
        <f t="shared" si="192"/>
        <v>0</v>
      </c>
      <c r="AA213" s="113">
        <f t="shared" si="193"/>
        <v>130</v>
      </c>
      <c r="AB213" s="113"/>
      <c r="AC213" s="155">
        <f t="shared" si="194"/>
        <v>-130</v>
      </c>
      <c r="AD213" s="113"/>
      <c r="AE213" s="113">
        <f t="shared" si="195"/>
        <v>0</v>
      </c>
      <c r="AF213" s="113">
        <f>IF(AG213&gt;0,AG101:AG213,0)</f>
        <v>0</v>
      </c>
      <c r="AG213" s="113">
        <f t="shared" si="196"/>
        <v>-130</v>
      </c>
      <c r="AI213">
        <f t="shared" si="197"/>
        <v>0</v>
      </c>
      <c r="AJ213">
        <f t="shared" si="198"/>
        <v>0</v>
      </c>
      <c r="AK213">
        <f t="shared" si="199"/>
        <v>0</v>
      </c>
      <c r="AL213">
        <f t="shared" si="200"/>
        <v>0</v>
      </c>
      <c r="AN213">
        <f t="shared" si="201"/>
        <v>0</v>
      </c>
      <c r="AO213">
        <f t="shared" si="202"/>
        <v>0</v>
      </c>
      <c r="AP213">
        <f t="shared" si="203"/>
        <v>0</v>
      </c>
      <c r="AQ213">
        <f t="shared" si="204"/>
        <v>0</v>
      </c>
    </row>
    <row r="214" spans="1:44" x14ac:dyDescent="0.3">
      <c r="B214" s="86" t="s">
        <v>818</v>
      </c>
      <c r="C214" t="s">
        <v>807</v>
      </c>
      <c r="D214" s="85" t="s">
        <v>370</v>
      </c>
      <c r="E214" s="84">
        <f t="shared" si="188"/>
        <v>0</v>
      </c>
      <c r="F214" s="84">
        <f t="shared" si="189"/>
        <v>1</v>
      </c>
      <c r="G214" s="85" t="s">
        <v>808</v>
      </c>
      <c r="H214" s="86">
        <v>7</v>
      </c>
      <c r="I214" s="85"/>
      <c r="J214" s="84" t="s">
        <v>103</v>
      </c>
      <c r="K214" s="84" t="s">
        <v>55</v>
      </c>
      <c r="L214" s="90">
        <v>0</v>
      </c>
      <c r="M214" s="96" t="s">
        <v>36</v>
      </c>
      <c r="N214" s="84"/>
      <c r="O214" s="107">
        <v>1683.16</v>
      </c>
      <c r="P214" s="113">
        <v>841.58</v>
      </c>
      <c r="Q214" s="85">
        <f t="shared" si="205"/>
        <v>1341.58</v>
      </c>
      <c r="R214" s="57" t="s">
        <v>809</v>
      </c>
      <c r="S214" s="89"/>
      <c r="T214" s="154">
        <f t="shared" si="190"/>
        <v>0</v>
      </c>
      <c r="U214" s="87" t="str">
        <f t="shared" si="191"/>
        <v>NONE</v>
      </c>
      <c r="V214" s="97"/>
      <c r="W214" s="214" t="s">
        <v>832</v>
      </c>
      <c r="X214" s="89">
        <f t="shared" si="175"/>
        <v>2183.16</v>
      </c>
      <c r="Y214" s="89"/>
      <c r="Z214" s="58">
        <f t="shared" si="192"/>
        <v>0</v>
      </c>
      <c r="AA214" s="58">
        <f t="shared" si="193"/>
        <v>130</v>
      </c>
      <c r="AB214" s="58"/>
      <c r="AC214" s="98">
        <f t="shared" si="194"/>
        <v>1553.16</v>
      </c>
      <c r="AD214" s="58"/>
      <c r="AE214" s="58">
        <f t="shared" si="195"/>
        <v>30</v>
      </c>
      <c r="AF214" s="58">
        <f>IF(AG214&gt;0,AG107:AG214,0)</f>
        <v>1523.16</v>
      </c>
      <c r="AG214" s="58">
        <f t="shared" si="196"/>
        <v>1523.16</v>
      </c>
      <c r="AI214">
        <f t="shared" si="197"/>
        <v>0</v>
      </c>
      <c r="AJ214">
        <f t="shared" si="198"/>
        <v>0</v>
      </c>
      <c r="AK214">
        <f t="shared" si="199"/>
        <v>0</v>
      </c>
      <c r="AL214">
        <f t="shared" si="200"/>
        <v>0</v>
      </c>
      <c r="AN214">
        <f t="shared" si="201"/>
        <v>0</v>
      </c>
      <c r="AO214">
        <f t="shared" si="202"/>
        <v>0</v>
      </c>
      <c r="AP214">
        <f t="shared" si="203"/>
        <v>0</v>
      </c>
      <c r="AQ214">
        <f t="shared" si="204"/>
        <v>0</v>
      </c>
    </row>
    <row r="215" spans="1:44" x14ac:dyDescent="0.3">
      <c r="B215" s="84" t="s">
        <v>730</v>
      </c>
      <c r="C215" s="84" t="s">
        <v>731</v>
      </c>
      <c r="D215" s="84" t="s">
        <v>30</v>
      </c>
      <c r="E215" s="85">
        <f t="shared" si="188"/>
        <v>0</v>
      </c>
      <c r="F215" s="85">
        <f t="shared" si="189"/>
        <v>1</v>
      </c>
      <c r="G215" s="85" t="s">
        <v>732</v>
      </c>
      <c r="H215" s="86">
        <v>8</v>
      </c>
      <c r="I215" s="85"/>
      <c r="J215" s="84" t="s">
        <v>103</v>
      </c>
      <c r="K215" s="84" t="s">
        <v>55</v>
      </c>
      <c r="L215" s="146">
        <v>0</v>
      </c>
      <c r="M215" s="96" t="s">
        <v>36</v>
      </c>
      <c r="N215" s="85"/>
      <c r="O215" s="107">
        <v>1786</v>
      </c>
      <c r="P215" s="113">
        <f t="shared" si="187"/>
        <v>714</v>
      </c>
      <c r="Q215" s="85">
        <f t="shared" si="205"/>
        <v>1572</v>
      </c>
      <c r="R215" s="153" t="s">
        <v>733</v>
      </c>
      <c r="S215" s="154"/>
      <c r="T215" s="154">
        <f t="shared" si="190"/>
        <v>0</v>
      </c>
      <c r="U215" s="87" t="str">
        <f t="shared" si="191"/>
        <v>NONE</v>
      </c>
      <c r="V215" s="97"/>
      <c r="W215" s="90" t="s">
        <v>851</v>
      </c>
      <c r="X215" s="89">
        <f t="shared" si="175"/>
        <v>2286</v>
      </c>
      <c r="Y215" s="154"/>
      <c r="Z215" s="113">
        <f t="shared" si="192"/>
        <v>0</v>
      </c>
      <c r="AA215" s="113">
        <f t="shared" si="193"/>
        <v>130</v>
      </c>
      <c r="AB215" s="113"/>
      <c r="AC215" s="155">
        <f t="shared" si="194"/>
        <v>1656</v>
      </c>
      <c r="AD215" s="113"/>
      <c r="AE215" s="113">
        <f t="shared" si="195"/>
        <v>30</v>
      </c>
      <c r="AF215" s="113">
        <f>IF(AG215&gt;0,AG102:AG215,0)</f>
        <v>1626</v>
      </c>
      <c r="AG215" s="113">
        <f t="shared" si="196"/>
        <v>1626</v>
      </c>
      <c r="AI215">
        <f t="shared" si="197"/>
        <v>0</v>
      </c>
      <c r="AJ215">
        <f t="shared" si="198"/>
        <v>0</v>
      </c>
      <c r="AK215">
        <f t="shared" si="199"/>
        <v>0</v>
      </c>
      <c r="AL215">
        <f t="shared" si="200"/>
        <v>0</v>
      </c>
      <c r="AN215">
        <f t="shared" si="201"/>
        <v>0</v>
      </c>
      <c r="AO215">
        <f t="shared" si="202"/>
        <v>0</v>
      </c>
      <c r="AP215">
        <f t="shared" si="203"/>
        <v>0</v>
      </c>
      <c r="AQ215">
        <f t="shared" si="204"/>
        <v>0</v>
      </c>
    </row>
    <row r="216" spans="1:44" x14ac:dyDescent="0.3">
      <c r="B216" s="86" t="s">
        <v>853</v>
      </c>
      <c r="C216" s="84" t="s">
        <v>844</v>
      </c>
      <c r="D216" s="85" t="s">
        <v>616</v>
      </c>
      <c r="E216" s="84">
        <f>IF(D216=$B$12,H216,0)</f>
        <v>0</v>
      </c>
      <c r="F216" s="84">
        <f>IF(E216&gt;0,0,1)</f>
        <v>1</v>
      </c>
      <c r="G216" s="148" t="s">
        <v>843</v>
      </c>
      <c r="H216" s="86">
        <v>7</v>
      </c>
      <c r="I216" s="85"/>
      <c r="J216" s="84" t="s">
        <v>777</v>
      </c>
      <c r="K216" s="84" t="s">
        <v>55</v>
      </c>
      <c r="L216" s="90">
        <v>0</v>
      </c>
      <c r="M216" s="96" t="s">
        <v>36</v>
      </c>
      <c r="N216" s="84"/>
      <c r="O216" s="107">
        <v>1567.26</v>
      </c>
      <c r="P216" s="113">
        <v>2067.2600000000002</v>
      </c>
      <c r="Q216" s="85">
        <f t="shared" si="205"/>
        <v>0</v>
      </c>
      <c r="R216" s="57" t="s">
        <v>156</v>
      </c>
      <c r="S216" s="89">
        <v>0</v>
      </c>
      <c r="T216" s="89">
        <f>IF(U216=$AD$2,47,IF(U216=$AD$1,ROUND(((O216+500)*0.039),0),IF(U216=$AD$3,0)))</f>
        <v>0</v>
      </c>
      <c r="U216" s="87" t="str">
        <f>IF(V216=1,$AD$2,IF(V216=2,$AD$1,IF(AND(V216&lt;&gt;1,V216&lt;&gt;20)=TRUE,$AD$3)))</f>
        <v>NONE</v>
      </c>
      <c r="V216" s="97"/>
      <c r="W216" s="109" t="s">
        <v>852</v>
      </c>
      <c r="X216" s="89">
        <f t="shared" si="175"/>
        <v>2067.2600000000002</v>
      </c>
      <c r="Y216" s="89"/>
      <c r="Z216" s="58">
        <f>IF(W216=$Z$1,Q216-500,0)</f>
        <v>0</v>
      </c>
      <c r="AA216" s="58">
        <f>IF(H216&gt;0,130,0)</f>
        <v>130</v>
      </c>
      <c r="AB216" s="58"/>
      <c r="AC216" s="98">
        <f>(O216+T216)-AA216</f>
        <v>1437.26</v>
      </c>
      <c r="AD216" s="58"/>
      <c r="AE216" s="58">
        <f>IF(H216&gt;0,30*F216,0)</f>
        <v>30</v>
      </c>
      <c r="AF216" s="58">
        <f>IF(AG216&gt;0,AG107:AG216,0)</f>
        <v>1407.26</v>
      </c>
      <c r="AG216" s="58">
        <f>AC216-AE216</f>
        <v>1407.26</v>
      </c>
      <c r="AI216">
        <f>IF(S216=1,O216-T216,0)</f>
        <v>0</v>
      </c>
      <c r="AJ216">
        <f>IF(S216=2,O216-T216,0)</f>
        <v>0</v>
      </c>
      <c r="AK216">
        <f>IF(S216=3,O216-T216,0)</f>
        <v>0</v>
      </c>
      <c r="AL216">
        <f>IF(S216=4,O216-T216,0)</f>
        <v>0</v>
      </c>
      <c r="AN216">
        <f>IF(S216=1,O216-T216,0)</f>
        <v>0</v>
      </c>
      <c r="AO216">
        <f>IF(S216=2,O216-T216,0)</f>
        <v>0</v>
      </c>
      <c r="AP216">
        <f>IF(S216=3,O216-T216,0)</f>
        <v>0</v>
      </c>
      <c r="AQ216">
        <f>IF(S216=4,O216-T216,0)</f>
        <v>0</v>
      </c>
    </row>
    <row r="217" spans="1:44" x14ac:dyDescent="0.3">
      <c r="B217" s="86" t="s">
        <v>620</v>
      </c>
      <c r="C217" t="s">
        <v>619</v>
      </c>
      <c r="D217" s="85" t="s">
        <v>61</v>
      </c>
      <c r="E217" s="84">
        <f t="shared" si="188"/>
        <v>0</v>
      </c>
      <c r="F217" s="84">
        <f t="shared" si="189"/>
        <v>1</v>
      </c>
      <c r="G217" s="148" t="s">
        <v>726</v>
      </c>
      <c r="H217" s="86">
        <v>21</v>
      </c>
      <c r="I217" s="85"/>
      <c r="J217" s="84" t="s">
        <v>615</v>
      </c>
      <c r="K217" s="84" t="s">
        <v>55</v>
      </c>
      <c r="L217" s="90">
        <v>0</v>
      </c>
      <c r="M217" s="96" t="s">
        <v>36</v>
      </c>
      <c r="N217" s="84"/>
      <c r="O217" s="107">
        <v>4112</v>
      </c>
      <c r="P217" s="113">
        <f t="shared" si="187"/>
        <v>1645</v>
      </c>
      <c r="Q217" s="85">
        <f t="shared" si="205"/>
        <v>3147</v>
      </c>
      <c r="R217" s="57" t="s">
        <v>621</v>
      </c>
      <c r="S217" s="89">
        <v>4</v>
      </c>
      <c r="T217" s="89">
        <f t="shared" si="190"/>
        <v>180</v>
      </c>
      <c r="U217" s="87" t="str">
        <f t="shared" si="191"/>
        <v>PAYPAL</v>
      </c>
      <c r="V217" s="97">
        <v>2</v>
      </c>
      <c r="W217" s="90" t="s">
        <v>162</v>
      </c>
      <c r="X217" s="89">
        <f t="shared" si="175"/>
        <v>4792</v>
      </c>
      <c r="Y217" s="89"/>
      <c r="Z217" s="58">
        <f t="shared" si="192"/>
        <v>0</v>
      </c>
      <c r="AA217" s="58">
        <f t="shared" si="193"/>
        <v>130</v>
      </c>
      <c r="AB217" s="58"/>
      <c r="AC217" s="98">
        <f t="shared" si="194"/>
        <v>4162</v>
      </c>
      <c r="AD217" s="58"/>
      <c r="AE217" s="58">
        <f t="shared" si="195"/>
        <v>30</v>
      </c>
      <c r="AF217" s="58">
        <f>IF(AG217&gt;0,AG108:AG217,0)</f>
        <v>4132</v>
      </c>
      <c r="AG217" s="58">
        <f t="shared" si="196"/>
        <v>4132</v>
      </c>
      <c r="AI217">
        <f t="shared" si="197"/>
        <v>0</v>
      </c>
      <c r="AJ217">
        <f t="shared" si="198"/>
        <v>0</v>
      </c>
      <c r="AK217">
        <f t="shared" si="199"/>
        <v>0</v>
      </c>
      <c r="AL217">
        <f t="shared" si="200"/>
        <v>3932</v>
      </c>
      <c r="AN217">
        <f t="shared" si="201"/>
        <v>0</v>
      </c>
      <c r="AO217">
        <f t="shared" si="202"/>
        <v>0</v>
      </c>
      <c r="AP217">
        <f t="shared" si="203"/>
        <v>0</v>
      </c>
      <c r="AQ217">
        <f t="shared" si="204"/>
        <v>3932</v>
      </c>
    </row>
    <row r="218" spans="1:44" x14ac:dyDescent="0.3">
      <c r="B218" s="103" t="s">
        <v>82</v>
      </c>
      <c r="C218" s="86" t="s">
        <v>42</v>
      </c>
      <c r="D218" s="84" t="s">
        <v>42</v>
      </c>
      <c r="E218" s="84">
        <f t="shared" si="188"/>
        <v>5</v>
      </c>
      <c r="F218" s="84">
        <f t="shared" si="189"/>
        <v>0</v>
      </c>
      <c r="G218" s="108" t="s">
        <v>618</v>
      </c>
      <c r="H218" s="86">
        <v>5</v>
      </c>
      <c r="I218" s="85"/>
      <c r="J218" s="84" t="s">
        <v>63</v>
      </c>
      <c r="K218" s="84" t="s">
        <v>55</v>
      </c>
      <c r="L218" s="90">
        <v>3</v>
      </c>
      <c r="M218" s="96" t="s">
        <v>36</v>
      </c>
      <c r="N218" s="84"/>
      <c r="O218" s="107">
        <v>0</v>
      </c>
      <c r="P218" s="113">
        <f t="shared" si="187"/>
        <v>0</v>
      </c>
      <c r="Q218" s="85">
        <f t="shared" si="205"/>
        <v>0</v>
      </c>
      <c r="R218" s="57"/>
      <c r="S218" s="89"/>
      <c r="T218" s="89">
        <f t="shared" si="190"/>
        <v>0</v>
      </c>
      <c r="U218" s="87" t="str">
        <f t="shared" si="191"/>
        <v>NONE</v>
      </c>
      <c r="V218" s="97"/>
      <c r="W218" s="90"/>
      <c r="X218" s="89">
        <f t="shared" si="175"/>
        <v>0</v>
      </c>
      <c r="Y218" s="89"/>
      <c r="Z218" s="58">
        <f t="shared" si="192"/>
        <v>0</v>
      </c>
      <c r="AA218" s="58">
        <f t="shared" si="193"/>
        <v>130</v>
      </c>
      <c r="AB218" s="58"/>
      <c r="AC218" s="98">
        <f t="shared" si="194"/>
        <v>-130</v>
      </c>
      <c r="AD218" s="58"/>
      <c r="AE218" s="58">
        <f t="shared" si="195"/>
        <v>0</v>
      </c>
      <c r="AF218" s="58">
        <f>IF(AG218&gt;0,AG109:AG218,0)</f>
        <v>0</v>
      </c>
      <c r="AG218" s="58">
        <f t="shared" si="196"/>
        <v>-130</v>
      </c>
      <c r="AI218">
        <f t="shared" si="197"/>
        <v>0</v>
      </c>
      <c r="AJ218">
        <f t="shared" si="198"/>
        <v>0</v>
      </c>
      <c r="AK218">
        <f t="shared" si="199"/>
        <v>0</v>
      </c>
      <c r="AL218">
        <f t="shared" si="200"/>
        <v>0</v>
      </c>
      <c r="AN218">
        <f t="shared" si="201"/>
        <v>0</v>
      </c>
      <c r="AO218">
        <f t="shared" si="202"/>
        <v>0</v>
      </c>
      <c r="AP218">
        <f t="shared" si="203"/>
        <v>0</v>
      </c>
      <c r="AQ218">
        <f t="shared" si="204"/>
        <v>0</v>
      </c>
    </row>
    <row r="219" spans="1:44" x14ac:dyDescent="0.3">
      <c r="B219" s="86" t="s">
        <v>629</v>
      </c>
      <c r="C219" s="84" t="s">
        <v>839</v>
      </c>
      <c r="D219" s="85" t="s">
        <v>370</v>
      </c>
      <c r="E219" s="84">
        <f>IF(D219=$B$12,H219,0)</f>
        <v>0</v>
      </c>
      <c r="F219" s="84">
        <f>IF(E219&gt;0,0,1)</f>
        <v>1</v>
      </c>
      <c r="G219" s="85" t="s">
        <v>723</v>
      </c>
      <c r="H219" s="86">
        <v>15</v>
      </c>
      <c r="I219" s="85"/>
      <c r="J219" s="84" t="s">
        <v>724</v>
      </c>
      <c r="K219" s="84" t="s">
        <v>55</v>
      </c>
      <c r="L219" s="90">
        <v>0</v>
      </c>
      <c r="M219" s="96" t="s">
        <v>36</v>
      </c>
      <c r="N219" s="84"/>
      <c r="O219" s="107">
        <v>2996</v>
      </c>
      <c r="P219" s="113">
        <f t="shared" si="187"/>
        <v>1198</v>
      </c>
      <c r="Q219" s="85">
        <f t="shared" si="205"/>
        <v>2434</v>
      </c>
      <c r="R219" s="57" t="s">
        <v>725</v>
      </c>
      <c r="S219" s="89">
        <v>0</v>
      </c>
      <c r="T219" s="89">
        <f>IF(U219=$AD$2,47,IF(U219=$AD$1,ROUND(((O219+500)*0.039),0),IF(U219=$AD$3,0)))</f>
        <v>136</v>
      </c>
      <c r="U219" s="87" t="str">
        <f>IF(V219=1,$AD$2,IF(V219=2,$AD$1,IF(AND(V219&lt;&gt;1,V219&lt;&gt;20)=TRUE,$AD$3)))</f>
        <v>PAYPAL</v>
      </c>
      <c r="V219" s="97">
        <v>2</v>
      </c>
      <c r="W219" s="90" t="s">
        <v>162</v>
      </c>
      <c r="X219" s="89">
        <f t="shared" si="175"/>
        <v>3632</v>
      </c>
      <c r="Y219" s="89"/>
      <c r="Z219" s="58">
        <f>IF(W219=$Z$1,Q219-500,0)</f>
        <v>0</v>
      </c>
      <c r="AA219" s="58">
        <f>IF(H219&gt;0,130,0)</f>
        <v>130</v>
      </c>
      <c r="AB219" s="58"/>
      <c r="AC219" s="98">
        <f>(O219+T219)-AA219</f>
        <v>3002</v>
      </c>
      <c r="AD219" s="58"/>
      <c r="AE219" s="58">
        <f>IF(H219&gt;0,30*F219,0)</f>
        <v>30</v>
      </c>
      <c r="AF219" s="58">
        <f>IF(AG219&gt;0,AG108:AG219,0)</f>
        <v>2972</v>
      </c>
      <c r="AG219" s="58">
        <f>AC219-AE219</f>
        <v>2972</v>
      </c>
      <c r="AI219">
        <f>IF(S219=1,O219-T219,0)</f>
        <v>0</v>
      </c>
      <c r="AJ219">
        <f>IF(S219=2,O219-T219,0)</f>
        <v>0</v>
      </c>
      <c r="AK219">
        <f>IF(S219=3,O219-T219,0)</f>
        <v>0</v>
      </c>
      <c r="AL219">
        <f>IF(S219=4,O219-T219,0)</f>
        <v>0</v>
      </c>
      <c r="AN219">
        <f>IF(S219=1,O219-T219,0)</f>
        <v>0</v>
      </c>
      <c r="AO219">
        <f>IF(S219=2,O219-T219,0)</f>
        <v>0</v>
      </c>
      <c r="AP219">
        <f>IF(S219=3,O219-T219,0)</f>
        <v>0</v>
      </c>
      <c r="AQ219">
        <f>IF(S219=4,O219-T219,0)</f>
        <v>0</v>
      </c>
    </row>
    <row r="220" spans="1:44" x14ac:dyDescent="0.3">
      <c r="B220" s="86" t="s">
        <v>803</v>
      </c>
      <c r="C220" t="s">
        <v>802</v>
      </c>
      <c r="D220" s="85"/>
      <c r="E220" s="84">
        <f>IF(D220=$B$12,H220,0)</f>
        <v>0</v>
      </c>
      <c r="F220" s="84">
        <f>IF(E220&gt;0,0,1)</f>
        <v>1</v>
      </c>
      <c r="G220" s="85" t="s">
        <v>800</v>
      </c>
      <c r="H220" s="86">
        <v>5</v>
      </c>
      <c r="I220" s="85"/>
      <c r="J220" s="84" t="s">
        <v>801</v>
      </c>
      <c r="K220" s="84" t="s">
        <v>55</v>
      </c>
      <c r="L220" s="90">
        <v>0</v>
      </c>
      <c r="M220" s="96" t="s">
        <v>36</v>
      </c>
      <c r="N220" s="84"/>
      <c r="O220" s="107">
        <v>1637</v>
      </c>
      <c r="P220" s="113">
        <f t="shared" si="187"/>
        <v>655</v>
      </c>
      <c r="Q220" s="85">
        <f t="shared" si="205"/>
        <v>1482</v>
      </c>
      <c r="R220" s="57" t="s">
        <v>804</v>
      </c>
      <c r="S220" s="89"/>
      <c r="T220" s="154">
        <f>IF(U220=$AD$2,47,IF(U220=$AD$1,ROUND(((O220+500)*0.039),0),IF(U220=$AD$3,0)))</f>
        <v>0</v>
      </c>
      <c r="U220" s="87" t="str">
        <f>IF(V220=1,$AD$2,IF(V220=2,$AD$1,IF(AND(V220&lt;&gt;1,V220&lt;&gt;20)=TRUE,$AD$3)))</f>
        <v>NONE</v>
      </c>
      <c r="V220" s="97"/>
      <c r="W220" s="90" t="s">
        <v>850</v>
      </c>
      <c r="X220" s="89">
        <f t="shared" si="175"/>
        <v>2137</v>
      </c>
      <c r="Y220" s="89"/>
      <c r="Z220" s="58">
        <f>IF(W220=$Z$1,Q220-500,0)</f>
        <v>0</v>
      </c>
      <c r="AA220" s="58">
        <f>IF(H220&gt;0,130,0)</f>
        <v>130</v>
      </c>
      <c r="AB220" s="58"/>
      <c r="AC220" s="98">
        <f>(O220+T220)-AA220</f>
        <v>1507</v>
      </c>
      <c r="AD220" s="58"/>
      <c r="AE220" s="58">
        <f>IF(H220&gt;0,30*F220,0)</f>
        <v>30</v>
      </c>
      <c r="AF220" s="58">
        <f>IF(AG220&gt;0,AG111:AG220,0)</f>
        <v>1477</v>
      </c>
      <c r="AG220" s="58">
        <f>AC220-AE220</f>
        <v>1477</v>
      </c>
      <c r="AI220">
        <f>IF(S220=1,O220-T220,0)</f>
        <v>0</v>
      </c>
      <c r="AJ220">
        <f>IF(S220=2,O220-T220,0)</f>
        <v>0</v>
      </c>
      <c r="AK220">
        <f>IF(S220=3,O220-T220,0)</f>
        <v>0</v>
      </c>
      <c r="AL220">
        <f>IF(S220=4,O220-T220,0)</f>
        <v>0</v>
      </c>
      <c r="AN220">
        <f>IF(S220=1,O220-T220,0)</f>
        <v>0</v>
      </c>
      <c r="AO220">
        <f>IF(S220=2,O220-T220,0)</f>
        <v>0</v>
      </c>
      <c r="AP220">
        <f>IF(S220=3,O220-T220,0)</f>
        <v>0</v>
      </c>
      <c r="AQ220">
        <f>IF(S220=4,O220-T220,0)</f>
        <v>0</v>
      </c>
    </row>
    <row r="221" spans="1:44" x14ac:dyDescent="0.3">
      <c r="B221" s="103" t="s">
        <v>82</v>
      </c>
      <c r="C221" s="86" t="s">
        <v>42</v>
      </c>
      <c r="D221" s="84" t="s">
        <v>42</v>
      </c>
      <c r="E221" s="84">
        <f t="shared" si="188"/>
        <v>7</v>
      </c>
      <c r="F221" s="84">
        <f t="shared" si="189"/>
        <v>0</v>
      </c>
      <c r="G221" s="105" t="s">
        <v>645</v>
      </c>
      <c r="H221" s="86">
        <v>7</v>
      </c>
      <c r="I221" s="85"/>
      <c r="J221" s="84" t="s">
        <v>63</v>
      </c>
      <c r="K221" s="84" t="s">
        <v>55</v>
      </c>
      <c r="L221" s="90">
        <v>3</v>
      </c>
      <c r="M221" s="96" t="s">
        <v>36</v>
      </c>
      <c r="N221" s="84"/>
      <c r="O221" s="107">
        <v>0</v>
      </c>
      <c r="P221" s="113">
        <f t="shared" si="187"/>
        <v>0</v>
      </c>
      <c r="Q221" s="85">
        <f t="shared" si="205"/>
        <v>0</v>
      </c>
      <c r="R221" s="57"/>
      <c r="S221" s="89"/>
      <c r="T221" s="89">
        <f t="shared" si="190"/>
        <v>0</v>
      </c>
      <c r="U221" s="87" t="str">
        <f t="shared" si="191"/>
        <v>NONE</v>
      </c>
      <c r="V221" s="97"/>
      <c r="W221" s="90"/>
      <c r="X221" s="89">
        <f t="shared" si="175"/>
        <v>0</v>
      </c>
      <c r="Y221" s="89"/>
      <c r="Z221" s="58">
        <f t="shared" si="192"/>
        <v>0</v>
      </c>
      <c r="AA221" s="58">
        <f t="shared" si="193"/>
        <v>130</v>
      </c>
      <c r="AB221" s="58"/>
      <c r="AC221" s="98">
        <f t="shared" si="194"/>
        <v>-130</v>
      </c>
      <c r="AD221" s="58"/>
      <c r="AE221" s="58">
        <f t="shared" si="195"/>
        <v>0</v>
      </c>
      <c r="AF221" s="58">
        <f>IF(AG221&gt;0,AG110:AG221,0)</f>
        <v>0</v>
      </c>
      <c r="AG221" s="58">
        <f t="shared" si="196"/>
        <v>-130</v>
      </c>
      <c r="AI221">
        <f t="shared" si="197"/>
        <v>0</v>
      </c>
      <c r="AJ221">
        <f t="shared" si="198"/>
        <v>0</v>
      </c>
      <c r="AK221">
        <f t="shared" si="199"/>
        <v>0</v>
      </c>
      <c r="AL221">
        <f t="shared" si="200"/>
        <v>0</v>
      </c>
      <c r="AN221">
        <f t="shared" si="201"/>
        <v>0</v>
      </c>
      <c r="AO221">
        <f t="shared" si="202"/>
        <v>0</v>
      </c>
      <c r="AP221">
        <f t="shared" si="203"/>
        <v>0</v>
      </c>
      <c r="AQ221">
        <f t="shared" si="204"/>
        <v>0</v>
      </c>
    </row>
    <row r="222" spans="1:44" x14ac:dyDescent="0.3">
      <c r="B222" s="86"/>
      <c r="C222" s="86"/>
      <c r="D222" s="85"/>
      <c r="E222" s="84">
        <f t="shared" si="188"/>
        <v>0</v>
      </c>
      <c r="F222" s="84">
        <f t="shared" si="189"/>
        <v>1</v>
      </c>
      <c r="G222" s="85"/>
      <c r="H222" s="86">
        <v>0</v>
      </c>
      <c r="I222" s="85"/>
      <c r="J222" s="84"/>
      <c r="K222" s="84"/>
      <c r="L222" s="90"/>
      <c r="M222" s="96"/>
      <c r="N222" s="84"/>
      <c r="O222" s="107">
        <v>0</v>
      </c>
      <c r="P222" s="113">
        <f t="shared" si="187"/>
        <v>0</v>
      </c>
      <c r="Q222" s="85">
        <f t="shared" si="205"/>
        <v>0</v>
      </c>
      <c r="R222" s="57"/>
      <c r="S222" s="89"/>
      <c r="T222" s="89">
        <f t="shared" si="190"/>
        <v>0</v>
      </c>
      <c r="U222" s="87" t="str">
        <f t="shared" si="191"/>
        <v>NONE</v>
      </c>
      <c r="V222" s="97"/>
      <c r="W222" s="90"/>
      <c r="X222" s="89">
        <f t="shared" si="175"/>
        <v>0</v>
      </c>
      <c r="Y222" s="89"/>
      <c r="Z222" s="58">
        <f t="shared" si="192"/>
        <v>0</v>
      </c>
      <c r="AA222" s="58">
        <f t="shared" si="193"/>
        <v>0</v>
      </c>
      <c r="AB222" s="58"/>
      <c r="AC222" s="98">
        <f t="shared" si="194"/>
        <v>0</v>
      </c>
      <c r="AD222" s="58"/>
      <c r="AE222" s="58">
        <f t="shared" si="195"/>
        <v>0</v>
      </c>
      <c r="AF222" s="58">
        <f>IF(AG222&gt;0,AG110:AG222,0)</f>
        <v>0</v>
      </c>
      <c r="AG222" s="58">
        <f t="shared" si="196"/>
        <v>0</v>
      </c>
      <c r="AI222">
        <f t="shared" si="197"/>
        <v>0</v>
      </c>
      <c r="AJ222">
        <f t="shared" si="198"/>
        <v>0</v>
      </c>
      <c r="AK222">
        <f t="shared" si="199"/>
        <v>0</v>
      </c>
      <c r="AL222">
        <f t="shared" si="200"/>
        <v>0</v>
      </c>
      <c r="AN222">
        <f t="shared" si="201"/>
        <v>0</v>
      </c>
      <c r="AO222">
        <f t="shared" si="202"/>
        <v>0</v>
      </c>
      <c r="AP222">
        <f t="shared" si="203"/>
        <v>0</v>
      </c>
      <c r="AQ222">
        <f t="shared" si="204"/>
        <v>0</v>
      </c>
    </row>
    <row r="223" spans="1:44" x14ac:dyDescent="0.3">
      <c r="B223" s="84"/>
      <c r="D223" s="84"/>
      <c r="E223" s="84">
        <f t="shared" si="188"/>
        <v>0</v>
      </c>
      <c r="F223" s="84">
        <f t="shared" si="189"/>
        <v>1</v>
      </c>
      <c r="G223" s="84"/>
      <c r="H223" s="85"/>
      <c r="I223" s="85"/>
      <c r="J223" s="84"/>
      <c r="K223" s="84"/>
      <c r="L223" s="90"/>
      <c r="M223" s="96"/>
      <c r="N223" s="84"/>
      <c r="O223" s="107">
        <v>0</v>
      </c>
      <c r="P223" s="113">
        <f t="shared" si="187"/>
        <v>0</v>
      </c>
      <c r="Q223" s="85">
        <f t="shared" si="205"/>
        <v>0</v>
      </c>
      <c r="R223" s="57"/>
      <c r="S223" s="89"/>
      <c r="T223" s="89">
        <f t="shared" si="190"/>
        <v>0</v>
      </c>
      <c r="U223" s="87" t="str">
        <f t="shared" si="191"/>
        <v>NONE</v>
      </c>
      <c r="V223" s="97"/>
      <c r="W223" s="90"/>
      <c r="X223" s="89">
        <f t="shared" si="175"/>
        <v>0</v>
      </c>
      <c r="Y223" s="89"/>
      <c r="Z223" s="58">
        <f t="shared" si="192"/>
        <v>0</v>
      </c>
      <c r="AA223" s="58">
        <f t="shared" si="193"/>
        <v>0</v>
      </c>
      <c r="AB223" s="58"/>
      <c r="AC223" s="98">
        <f t="shared" si="194"/>
        <v>0</v>
      </c>
      <c r="AD223" s="58"/>
      <c r="AE223" s="58">
        <f t="shared" si="195"/>
        <v>0</v>
      </c>
      <c r="AF223" s="58">
        <f>IF(AG223&gt;0,AG109:AG223,0)</f>
        <v>0</v>
      </c>
      <c r="AG223" s="58">
        <f t="shared" si="196"/>
        <v>0</v>
      </c>
      <c r="AI223">
        <f t="shared" si="197"/>
        <v>0</v>
      </c>
      <c r="AJ223">
        <f t="shared" si="198"/>
        <v>0</v>
      </c>
      <c r="AK223">
        <f t="shared" si="199"/>
        <v>0</v>
      </c>
      <c r="AL223">
        <f t="shared" si="200"/>
        <v>0</v>
      </c>
      <c r="AN223">
        <f t="shared" si="201"/>
        <v>0</v>
      </c>
      <c r="AO223">
        <f t="shared" si="202"/>
        <v>0</v>
      </c>
      <c r="AP223">
        <f t="shared" si="203"/>
        <v>0</v>
      </c>
      <c r="AQ223">
        <f t="shared" si="204"/>
        <v>0</v>
      </c>
    </row>
    <row r="224" spans="1:44" x14ac:dyDescent="0.3">
      <c r="A224" s="45"/>
      <c r="B224" s="192">
        <f>COUNTIFS(D$186:D223,"&lt;&gt;NA")-COUNTIFS(D$186:D223,"="&amp;D1)</f>
        <v>20</v>
      </c>
      <c r="C224" s="174" t="s">
        <v>472</v>
      </c>
      <c r="D224" s="46">
        <f>SUM(E186:E223)</f>
        <v>117</v>
      </c>
      <c r="E224" s="46"/>
      <c r="F224" s="46"/>
      <c r="G224" s="63" t="s">
        <v>215</v>
      </c>
      <c r="H224" s="62">
        <f>SUM(H185:H223)-SUM(E186:E223)</f>
        <v>223</v>
      </c>
      <c r="I224" s="62"/>
      <c r="J224" s="61">
        <f>ROUND(H224/7,0)</f>
        <v>32</v>
      </c>
      <c r="K224" s="61" t="s">
        <v>214</v>
      </c>
      <c r="L224" s="63" t="s">
        <v>216</v>
      </c>
      <c r="M224" s="151">
        <f>ROUND(AF224/J224,0)</f>
        <v>1431</v>
      </c>
      <c r="N224" s="45"/>
      <c r="O224" s="82">
        <f>SUM(O186:O223)</f>
        <v>46530.950000000004</v>
      </c>
      <c r="P224" s="49"/>
      <c r="Q224" s="80">
        <f>Z224</f>
        <v>0</v>
      </c>
      <c r="R224" s="79" t="s">
        <v>254</v>
      </c>
      <c r="S224" s="126"/>
      <c r="T224" s="73"/>
      <c r="U224" s="48"/>
      <c r="V224" s="48"/>
      <c r="W224" s="47"/>
      <c r="X224" s="49"/>
      <c r="Y224" s="49">
        <f>Z224</f>
        <v>0</v>
      </c>
      <c r="Z224" s="49">
        <f>SUM(Z186:Z223)</f>
        <v>0</v>
      </c>
      <c r="AA224" s="49">
        <f>SUM(AA186:AA223)</f>
        <v>4160</v>
      </c>
      <c r="AB224" s="49">
        <f>AA224</f>
        <v>4160</v>
      </c>
      <c r="AC224" s="45"/>
      <c r="AD224" s="49"/>
      <c r="AE224" s="49">
        <f>SUM(AE186:AE223)</f>
        <v>660</v>
      </c>
      <c r="AF224" s="49">
        <f>SUM(AF186:AF223)</f>
        <v>45776.950000000004</v>
      </c>
      <c r="AG224" s="82">
        <f>SUM(AG186:AG223)</f>
        <v>43296.950000000004</v>
      </c>
      <c r="AH224" s="45">
        <f>AG224</f>
        <v>43296.950000000004</v>
      </c>
      <c r="AI224" s="129">
        <f>SUM(AI186:AI223)</f>
        <v>6722</v>
      </c>
      <c r="AJ224" s="129">
        <f>SUM(AJ186:AJ223)</f>
        <v>3337</v>
      </c>
      <c r="AK224" s="129">
        <f>SUM(AK186:AK223)</f>
        <v>0</v>
      </c>
      <c r="AL224" s="129">
        <f>SUM(AL186:AL223)</f>
        <v>3932</v>
      </c>
      <c r="AM224" s="131">
        <f>SUM(AI224:AL224)</f>
        <v>13991</v>
      </c>
      <c r="AN224" s="129">
        <f>SUM(AN186:AN223)</f>
        <v>6722</v>
      </c>
      <c r="AO224" s="129">
        <f>SUM(AO186:AO223)</f>
        <v>3337</v>
      </c>
      <c r="AP224" s="129">
        <f>SUM(AP186:AP223)</f>
        <v>0</v>
      </c>
      <c r="AQ224" s="129">
        <f>SUM(AQ186:AQ223)</f>
        <v>3932</v>
      </c>
      <c r="AR224" s="131">
        <f>SUM(AN224:AQ224)</f>
        <v>13991</v>
      </c>
    </row>
    <row r="225" spans="1:44" ht="21" customHeight="1" x14ac:dyDescent="0.45">
      <c r="A225" s="130"/>
      <c r="B225" s="150">
        <v>2016</v>
      </c>
      <c r="C225" s="133"/>
      <c r="D225" s="132"/>
      <c r="E225" s="132"/>
      <c r="F225" s="132"/>
      <c r="G225" s="134"/>
      <c r="H225" s="135"/>
      <c r="I225" s="135"/>
      <c r="J225" s="136"/>
      <c r="K225" s="136"/>
      <c r="L225" s="134"/>
      <c r="M225" s="137"/>
      <c r="N225" s="130"/>
      <c r="O225" s="138"/>
      <c r="P225" s="139"/>
      <c r="Q225" s="140"/>
      <c r="R225" s="141"/>
      <c r="S225" s="142"/>
      <c r="T225" s="143"/>
      <c r="U225" s="144"/>
      <c r="V225" s="144"/>
      <c r="W225" s="145"/>
      <c r="X225" s="139"/>
      <c r="Y225" s="139"/>
      <c r="Z225" s="139"/>
      <c r="AA225" s="139"/>
      <c r="AB225" s="139"/>
      <c r="AC225" s="130"/>
      <c r="AD225" s="139"/>
      <c r="AE225" s="139"/>
      <c r="AF225" s="139"/>
      <c r="AG225" s="138"/>
      <c r="AH225" s="45"/>
      <c r="AI225" s="119">
        <f>ROUNDUP(AI224*0.04,0)</f>
        <v>269</v>
      </c>
      <c r="AJ225" s="119">
        <f>ROUNDUP(AJ224*0.04,0)</f>
        <v>134</v>
      </c>
      <c r="AK225" s="119">
        <f>ROUNDUP(AK224*0.04,0)</f>
        <v>0</v>
      </c>
      <c r="AL225" s="119">
        <f>ROUNDUP(AL224*0.04,0)</f>
        <v>158</v>
      </c>
      <c r="AM225" s="131">
        <f>SUM(AI225:AL225)</f>
        <v>561</v>
      </c>
      <c r="AN225" s="119">
        <f>ROUNDUP(AN224*0.06,0)</f>
        <v>404</v>
      </c>
      <c r="AO225" s="119">
        <f>ROUNDUP(AO224*0.06,0)</f>
        <v>201</v>
      </c>
      <c r="AP225" s="119">
        <f>ROUNDUP(AP224*0.06,0)</f>
        <v>0</v>
      </c>
      <c r="AQ225" s="119">
        <f>ROUNDUP(AQ224*0.06,0)</f>
        <v>236</v>
      </c>
      <c r="AR225" s="131">
        <f>SUM(AN225:AQ225)</f>
        <v>841</v>
      </c>
    </row>
    <row r="226" spans="1:44" s="84" customFormat="1" x14ac:dyDescent="0.3">
      <c r="B226" s="86" t="s">
        <v>825</v>
      </c>
      <c r="C226" t="s">
        <v>826</v>
      </c>
      <c r="D226" s="84" t="s">
        <v>616</v>
      </c>
      <c r="E226" s="84">
        <f t="shared" ref="E226:E232" si="206">IF(D226=$B$12,H226,0)</f>
        <v>0</v>
      </c>
      <c r="F226" s="84">
        <f t="shared" ref="F226:F256" si="207">IF(E226&gt;0,0,1)</f>
        <v>1</v>
      </c>
      <c r="G226" s="84" t="s">
        <v>823</v>
      </c>
      <c r="H226" s="148">
        <v>7</v>
      </c>
      <c r="I226" s="85"/>
      <c r="J226" s="84" t="s">
        <v>615</v>
      </c>
      <c r="K226" s="84" t="s">
        <v>55</v>
      </c>
      <c r="L226" s="90"/>
      <c r="M226" s="96" t="s">
        <v>36</v>
      </c>
      <c r="O226" s="107">
        <v>2478</v>
      </c>
      <c r="P226" s="113">
        <f t="shared" ref="P226:P271" si="208">ROUND((O226*0.4),0)</f>
        <v>991</v>
      </c>
      <c r="Q226" s="84">
        <f t="shared" ref="Q226:Q242" si="209">IF(O226&gt;0,((O226+500)-P226)+T226,0)</f>
        <v>1987</v>
      </c>
      <c r="R226" s="207" t="s">
        <v>824</v>
      </c>
      <c r="S226" s="89"/>
      <c r="T226" s="89">
        <f t="shared" ref="T226:T238" si="210">IF(U226=$AD$2,47,IF(U226=$AD$1,ROUND(((O226+500)*0.039),0),IF(U226=$AD$3,0)))</f>
        <v>0</v>
      </c>
      <c r="U226" s="87" t="str">
        <f t="shared" ref="U226:U256" si="211">IF(V226=1,$AD$2,IF(V226=2,$AD$1,IF(AND(V226&lt;&gt;1,V226&lt;&gt;20)=TRUE,$AD$3)))</f>
        <v>NONE</v>
      </c>
      <c r="V226" s="97"/>
      <c r="W226" s="109" t="s">
        <v>25</v>
      </c>
      <c r="X226" s="89">
        <f t="shared" ref="X226:X271" si="212">Q226+P226</f>
        <v>2978</v>
      </c>
      <c r="Y226" s="89"/>
      <c r="Z226" s="58">
        <f t="shared" ref="Z226:Z250" si="213">IF(W226=$Z$1,Q226-500,0)</f>
        <v>0</v>
      </c>
      <c r="AA226" s="58">
        <f t="shared" ref="AA226:AA256" si="214">IF(H226&gt;0,130,0)</f>
        <v>130</v>
      </c>
      <c r="AB226" s="58"/>
      <c r="AC226" s="98">
        <f t="shared" ref="AC226:AC256" si="215">(O226+T226)-AA226</f>
        <v>2348</v>
      </c>
      <c r="AD226" s="58"/>
      <c r="AE226" s="58">
        <f t="shared" ref="AE226:AE256" si="216">IF(H226&gt;0,30*F226,0)</f>
        <v>30</v>
      </c>
      <c r="AF226" s="58">
        <f>IF(AG226&gt;0,AG134:AG226,0)</f>
        <v>2318</v>
      </c>
      <c r="AG226" s="58">
        <f t="shared" ref="AG226:AG234" si="217">AC226-AE226</f>
        <v>2318</v>
      </c>
      <c r="AI226">
        <f t="shared" ref="AI226:AI234" si="218">IF(S226=1,O226-T226,0)</f>
        <v>0</v>
      </c>
      <c r="AJ226">
        <f t="shared" ref="AJ226:AJ234" si="219">IF(S226=2,O226-T226,0)</f>
        <v>0</v>
      </c>
      <c r="AK226">
        <f t="shared" ref="AK226:AK234" si="220">IF(S226=3,O226-T226,0)</f>
        <v>0</v>
      </c>
      <c r="AL226">
        <f t="shared" ref="AL226:AL234" si="221">IF(S226=4,O226-T226,0)</f>
        <v>0</v>
      </c>
      <c r="AM226"/>
      <c r="AN226">
        <f t="shared" ref="AN226:AN234" si="222">IF(S226=1,O226-T226,0)</f>
        <v>0</v>
      </c>
      <c r="AO226">
        <f t="shared" ref="AO226:AO234" si="223">IF(S226=2,O226-T226,0)</f>
        <v>0</v>
      </c>
      <c r="AP226">
        <f t="shared" ref="AP226:AP234" si="224">IF(S226=3,O226-T226,0)</f>
        <v>0</v>
      </c>
      <c r="AQ226">
        <f t="shared" ref="AQ226:AQ234" si="225">IF(S226=4,O226-T226,0)</f>
        <v>0</v>
      </c>
    </row>
    <row r="227" spans="1:44" x14ac:dyDescent="0.3">
      <c r="B227" s="103" t="s">
        <v>82</v>
      </c>
      <c r="C227" s="86" t="s">
        <v>42</v>
      </c>
      <c r="D227" s="84" t="s">
        <v>42</v>
      </c>
      <c r="E227" s="84">
        <f t="shared" si="206"/>
        <v>4</v>
      </c>
      <c r="F227" s="84">
        <f>IF(E227&gt;0,0,1)</f>
        <v>0</v>
      </c>
      <c r="G227" s="108" t="s">
        <v>749</v>
      </c>
      <c r="H227" s="148">
        <v>4</v>
      </c>
      <c r="I227" s="85"/>
      <c r="J227" s="84" t="s">
        <v>63</v>
      </c>
      <c r="K227" s="84" t="s">
        <v>55</v>
      </c>
      <c r="L227" s="90"/>
      <c r="M227" s="96" t="s">
        <v>36</v>
      </c>
      <c r="N227" s="84"/>
      <c r="O227" s="107">
        <v>0</v>
      </c>
      <c r="P227" s="113">
        <f>ROUND((O227*0.4),0)</f>
        <v>0</v>
      </c>
      <c r="Q227" s="84">
        <f>IF(O227&gt;0,((O227+500)-P227)+T227,0)</f>
        <v>0</v>
      </c>
      <c r="R227" s="207"/>
      <c r="S227" s="89"/>
      <c r="T227" s="89">
        <f>IF(U227=$AD$2,47,IF(U227=$AD$1,ROUND(((O227+500)*0.039),0),IF(U227=$AD$3,0)))</f>
        <v>0</v>
      </c>
      <c r="U227" s="87" t="str">
        <f>IF(V227=1,$AD$2,IF(V227=2,$AD$1,IF(AND(V227&lt;&gt;1,V227&lt;&gt;20)=TRUE,$AD$3)))</f>
        <v>NONE</v>
      </c>
      <c r="V227" s="97"/>
      <c r="W227" s="90"/>
      <c r="X227" s="89">
        <f>Q227+P227</f>
        <v>0</v>
      </c>
      <c r="Y227" s="89"/>
      <c r="Z227" s="58">
        <f>IF(W227=$Z$1,Q227-500,0)</f>
        <v>0</v>
      </c>
      <c r="AA227" s="58">
        <f>IF(H227&gt;0,130,0)</f>
        <v>130</v>
      </c>
      <c r="AB227" s="58"/>
      <c r="AC227" s="98">
        <f>(O227+T227)-AA227</f>
        <v>-130</v>
      </c>
      <c r="AD227" s="58"/>
      <c r="AE227" s="58">
        <f>IF(H227&gt;0,30*F227,0)</f>
        <v>0</v>
      </c>
      <c r="AF227" s="58">
        <f>IF(AG227&gt;0,AG101:AG227,0)</f>
        <v>0</v>
      </c>
      <c r="AG227" s="58">
        <f>AC227-AE227</f>
        <v>-130</v>
      </c>
      <c r="AH227" s="84"/>
      <c r="AI227" s="84">
        <f>IF(S227=1,O227-T227,0)</f>
        <v>0</v>
      </c>
      <c r="AJ227">
        <f>IF(S227=2,O227-T227,0)</f>
        <v>0</v>
      </c>
      <c r="AK227">
        <f>IF(S227=3,O227-T227,0)</f>
        <v>0</v>
      </c>
      <c r="AL227">
        <f>IF(S227=4,O227-T227,0)</f>
        <v>0</v>
      </c>
      <c r="AN227">
        <f>IF(S227=1,O227-T227,0)</f>
        <v>0</v>
      </c>
      <c r="AO227">
        <f>IF(S227=2,O227-T227,0)</f>
        <v>0</v>
      </c>
      <c r="AP227">
        <f>IF(S227=3,O227-T227,0)</f>
        <v>0</v>
      </c>
      <c r="AQ227">
        <f>IF(S227=4,O227-T227,0)</f>
        <v>0</v>
      </c>
    </row>
    <row r="228" spans="1:44" ht="15.6" x14ac:dyDescent="0.3">
      <c r="B228" s="211" t="s">
        <v>814</v>
      </c>
      <c r="C228" s="84" t="s">
        <v>813</v>
      </c>
      <c r="D228" s="84" t="s">
        <v>370</v>
      </c>
      <c r="E228" s="85">
        <f t="shared" si="206"/>
        <v>0</v>
      </c>
      <c r="F228" s="85">
        <f>IF(E228&gt;0,0,1)</f>
        <v>1</v>
      </c>
      <c r="G228" s="85" t="s">
        <v>815</v>
      </c>
      <c r="H228" s="148">
        <v>7</v>
      </c>
      <c r="I228" s="85"/>
      <c r="J228" s="84" t="s">
        <v>816</v>
      </c>
      <c r="K228" s="84" t="s">
        <v>55</v>
      </c>
      <c r="L228" s="146"/>
      <c r="M228" s="96" t="s">
        <v>36</v>
      </c>
      <c r="N228" s="85"/>
      <c r="O228" s="107">
        <v>2321</v>
      </c>
      <c r="P228" s="113">
        <v>1160.5</v>
      </c>
      <c r="Q228" s="85">
        <f t="shared" si="209"/>
        <v>1660.5</v>
      </c>
      <c r="R228" s="207" t="s">
        <v>817</v>
      </c>
      <c r="S228" s="154"/>
      <c r="T228" s="154">
        <f t="shared" si="210"/>
        <v>0</v>
      </c>
      <c r="U228" s="87" t="str">
        <f>IF(V228=1,$AD$2,IF(V228=2,$AD$1,IF(AND(V228&lt;&gt;1,V228&lt;&gt;20)=TRUE,$AD$3)))</f>
        <v>NONE</v>
      </c>
      <c r="V228" s="97"/>
      <c r="W228" s="214" t="s">
        <v>832</v>
      </c>
      <c r="X228" s="89">
        <f>Q228+P228</f>
        <v>2821</v>
      </c>
      <c r="Y228" s="154"/>
      <c r="Z228" s="113">
        <f>IF(W228=$Z$1,Q228-500,0)</f>
        <v>0</v>
      </c>
      <c r="AA228" s="113">
        <f>IF(H228&gt;0,130,0)</f>
        <v>130</v>
      </c>
      <c r="AB228" s="113"/>
      <c r="AC228" s="155">
        <f>(O228+T228)-AA228</f>
        <v>2191</v>
      </c>
      <c r="AD228" s="113"/>
      <c r="AE228" s="113">
        <f>IF(H228&gt;0,30*F228,0)</f>
        <v>30</v>
      </c>
      <c r="AF228" s="113">
        <f>IF(AG228&gt;0,AG111:AG228,0)</f>
        <v>2161</v>
      </c>
      <c r="AG228" s="113">
        <f t="shared" si="217"/>
        <v>2161</v>
      </c>
      <c r="AI228">
        <f t="shared" si="218"/>
        <v>0</v>
      </c>
      <c r="AJ228">
        <f t="shared" si="219"/>
        <v>0</v>
      </c>
      <c r="AK228">
        <f t="shared" si="220"/>
        <v>0</v>
      </c>
      <c r="AL228">
        <f t="shared" si="221"/>
        <v>0</v>
      </c>
      <c r="AN228">
        <f t="shared" si="222"/>
        <v>0</v>
      </c>
      <c r="AO228">
        <f t="shared" si="223"/>
        <v>0</v>
      </c>
      <c r="AP228">
        <f t="shared" si="224"/>
        <v>0</v>
      </c>
      <c r="AQ228">
        <f t="shared" si="225"/>
        <v>0</v>
      </c>
    </row>
    <row r="229" spans="1:44" x14ac:dyDescent="0.3">
      <c r="B229" s="103" t="s">
        <v>841</v>
      </c>
      <c r="C229" s="86" t="s">
        <v>42</v>
      </c>
      <c r="D229" s="84" t="s">
        <v>42</v>
      </c>
      <c r="E229" s="85">
        <f t="shared" si="206"/>
        <v>3</v>
      </c>
      <c r="F229" s="85">
        <f t="shared" si="207"/>
        <v>0</v>
      </c>
      <c r="G229" s="108" t="s">
        <v>646</v>
      </c>
      <c r="H229" s="148">
        <v>3</v>
      </c>
      <c r="I229" s="85"/>
      <c r="J229" s="84" t="s">
        <v>63</v>
      </c>
      <c r="K229" s="84" t="s">
        <v>55</v>
      </c>
      <c r="L229" s="146"/>
      <c r="M229" s="96" t="s">
        <v>36</v>
      </c>
      <c r="N229" s="85"/>
      <c r="O229" s="107">
        <v>0</v>
      </c>
      <c r="P229" s="113">
        <f t="shared" si="208"/>
        <v>0</v>
      </c>
      <c r="Q229" s="85">
        <f t="shared" si="209"/>
        <v>0</v>
      </c>
      <c r="R229" s="207"/>
      <c r="S229" s="154"/>
      <c r="T229" s="154">
        <f t="shared" si="210"/>
        <v>0</v>
      </c>
      <c r="U229" s="87" t="str">
        <f t="shared" si="211"/>
        <v>NONE</v>
      </c>
      <c r="V229" s="97"/>
      <c r="W229" s="146"/>
      <c r="X229" s="89">
        <f t="shared" si="212"/>
        <v>0</v>
      </c>
      <c r="Y229" s="154"/>
      <c r="Z229" s="113">
        <f t="shared" si="213"/>
        <v>0</v>
      </c>
      <c r="AA229" s="113">
        <f t="shared" si="214"/>
        <v>130</v>
      </c>
      <c r="AB229" s="113"/>
      <c r="AC229" s="155">
        <f t="shared" si="215"/>
        <v>-130</v>
      </c>
      <c r="AD229" s="113"/>
      <c r="AE229" s="113">
        <f t="shared" si="216"/>
        <v>0</v>
      </c>
      <c r="AF229" s="113">
        <f>IF(AG229&gt;0,AG118:AG229,0)</f>
        <v>0</v>
      </c>
      <c r="AG229" s="113">
        <f t="shared" si="217"/>
        <v>-130</v>
      </c>
      <c r="AI229">
        <f t="shared" si="218"/>
        <v>0</v>
      </c>
      <c r="AJ229">
        <f t="shared" si="219"/>
        <v>0</v>
      </c>
      <c r="AK229">
        <f t="shared" si="220"/>
        <v>0</v>
      </c>
      <c r="AL229">
        <f t="shared" si="221"/>
        <v>0</v>
      </c>
      <c r="AN229">
        <f t="shared" si="222"/>
        <v>0</v>
      </c>
      <c r="AO229">
        <f t="shared" si="223"/>
        <v>0</v>
      </c>
      <c r="AP229">
        <f t="shared" si="224"/>
        <v>0</v>
      </c>
      <c r="AQ229">
        <f t="shared" si="225"/>
        <v>0</v>
      </c>
    </row>
    <row r="230" spans="1:44" ht="15.6" x14ac:dyDescent="0.3">
      <c r="B230" s="211" t="s">
        <v>858</v>
      </c>
      <c r="C230" s="211" t="s">
        <v>753</v>
      </c>
      <c r="D230" s="84" t="s">
        <v>370</v>
      </c>
      <c r="E230" s="85">
        <f t="shared" si="206"/>
        <v>0</v>
      </c>
      <c r="F230" s="85">
        <f>IF(E230&gt;0,0,1)</f>
        <v>1</v>
      </c>
      <c r="G230" s="84" t="s">
        <v>755</v>
      </c>
      <c r="H230" s="148">
        <v>11</v>
      </c>
      <c r="I230" s="85"/>
      <c r="J230" s="84" t="s">
        <v>754</v>
      </c>
      <c r="K230" s="84" t="s">
        <v>55</v>
      </c>
      <c r="L230" s="146"/>
      <c r="M230" s="96" t="s">
        <v>36</v>
      </c>
      <c r="N230" s="85"/>
      <c r="O230" s="107">
        <v>3460</v>
      </c>
      <c r="P230" s="113">
        <f>ROUND((O230*0.4),0)</f>
        <v>1384</v>
      </c>
      <c r="Q230" s="85">
        <f t="shared" si="209"/>
        <v>2576</v>
      </c>
      <c r="R230" s="207" t="s">
        <v>756</v>
      </c>
      <c r="S230" s="154"/>
      <c r="T230" s="154">
        <f t="shared" si="210"/>
        <v>0</v>
      </c>
      <c r="U230" s="87" t="str">
        <f>IF(V230=1,$AD$2,IF(V230=2,$AD$1,IF(AND(V230&lt;&gt;1,V230&lt;&gt;20)=TRUE,$AD$3)))</f>
        <v>NONE</v>
      </c>
      <c r="V230" s="97"/>
      <c r="W230" s="109" t="s">
        <v>879</v>
      </c>
      <c r="X230" s="89">
        <f>Q230+P230</f>
        <v>3960</v>
      </c>
      <c r="Y230" s="154"/>
      <c r="Z230" s="113">
        <f>IF(W230=$Z$1,Q230-500,0)</f>
        <v>0</v>
      </c>
      <c r="AA230" s="113">
        <f>IF(H230&gt;0,130,0)</f>
        <v>130</v>
      </c>
      <c r="AB230" s="113"/>
      <c r="AC230" s="155">
        <f>(O230+T230)-AA230</f>
        <v>3330</v>
      </c>
      <c r="AD230" s="113"/>
      <c r="AE230" s="113">
        <f>IF(H230&gt;0,30*F230,0)</f>
        <v>30</v>
      </c>
      <c r="AF230" s="113">
        <f>IF(AG230&gt;0,AG115:AG230,0)</f>
        <v>3300</v>
      </c>
      <c r="AG230" s="113">
        <f t="shared" si="217"/>
        <v>3300</v>
      </c>
      <c r="AI230">
        <f t="shared" si="218"/>
        <v>0</v>
      </c>
      <c r="AJ230">
        <f t="shared" si="219"/>
        <v>0</v>
      </c>
      <c r="AK230">
        <f t="shared" si="220"/>
        <v>0</v>
      </c>
      <c r="AL230">
        <f t="shared" si="221"/>
        <v>0</v>
      </c>
      <c r="AN230">
        <f t="shared" si="222"/>
        <v>0</v>
      </c>
      <c r="AO230">
        <f t="shared" si="223"/>
        <v>0</v>
      </c>
      <c r="AP230">
        <f t="shared" si="224"/>
        <v>0</v>
      </c>
      <c r="AQ230">
        <f t="shared" si="225"/>
        <v>0</v>
      </c>
    </row>
    <row r="231" spans="1:44" x14ac:dyDescent="0.3">
      <c r="B231" s="103" t="s">
        <v>82</v>
      </c>
      <c r="C231" s="86" t="s">
        <v>42</v>
      </c>
      <c r="D231" s="84" t="s">
        <v>42</v>
      </c>
      <c r="E231" s="85">
        <f t="shared" si="206"/>
        <v>10</v>
      </c>
      <c r="F231" s="85">
        <f t="shared" si="207"/>
        <v>0</v>
      </c>
      <c r="G231" s="108" t="s">
        <v>647</v>
      </c>
      <c r="H231" s="148">
        <v>10</v>
      </c>
      <c r="I231" s="85"/>
      <c r="J231" s="84" t="s">
        <v>63</v>
      </c>
      <c r="K231" s="84" t="s">
        <v>55</v>
      </c>
      <c r="L231" s="146"/>
      <c r="M231" s="96" t="s">
        <v>36</v>
      </c>
      <c r="N231" s="85"/>
      <c r="O231" s="107">
        <v>0</v>
      </c>
      <c r="P231" s="113">
        <f t="shared" si="208"/>
        <v>0</v>
      </c>
      <c r="Q231" s="85">
        <f t="shared" si="209"/>
        <v>0</v>
      </c>
      <c r="R231" s="207"/>
      <c r="S231" s="154"/>
      <c r="T231" s="154">
        <f t="shared" si="210"/>
        <v>0</v>
      </c>
      <c r="U231" s="87" t="str">
        <f t="shared" si="211"/>
        <v>NONE</v>
      </c>
      <c r="V231" s="97"/>
      <c r="W231" s="146"/>
      <c r="X231" s="89">
        <f t="shared" si="212"/>
        <v>0</v>
      </c>
      <c r="Y231" s="154"/>
      <c r="Z231" s="113">
        <f t="shared" si="213"/>
        <v>0</v>
      </c>
      <c r="AA231" s="113">
        <f t="shared" si="214"/>
        <v>130</v>
      </c>
      <c r="AB231" s="113"/>
      <c r="AC231" s="155">
        <f t="shared" si="215"/>
        <v>-130</v>
      </c>
      <c r="AD231" s="113"/>
      <c r="AE231" s="113">
        <f t="shared" si="216"/>
        <v>0</v>
      </c>
      <c r="AF231" s="113">
        <f>IF(AG231&gt;0,AG119:AG241,0)</f>
        <v>0</v>
      </c>
      <c r="AG231" s="113">
        <f t="shared" si="217"/>
        <v>-130</v>
      </c>
      <c r="AI231">
        <f t="shared" si="218"/>
        <v>0</v>
      </c>
      <c r="AJ231">
        <f t="shared" si="219"/>
        <v>0</v>
      </c>
      <c r="AK231">
        <f t="shared" si="220"/>
        <v>0</v>
      </c>
      <c r="AL231">
        <f t="shared" si="221"/>
        <v>0</v>
      </c>
      <c r="AN231">
        <f t="shared" si="222"/>
        <v>0</v>
      </c>
      <c r="AO231">
        <f t="shared" si="223"/>
        <v>0</v>
      </c>
      <c r="AP231">
        <f t="shared" si="224"/>
        <v>0</v>
      </c>
      <c r="AQ231">
        <f t="shared" si="225"/>
        <v>0</v>
      </c>
    </row>
    <row r="232" spans="1:44" x14ac:dyDescent="0.3">
      <c r="B232" s="148" t="s">
        <v>859</v>
      </c>
      <c r="C232" t="s">
        <v>540</v>
      </c>
      <c r="D232" s="84" t="s">
        <v>30</v>
      </c>
      <c r="E232" s="85">
        <f t="shared" si="206"/>
        <v>0</v>
      </c>
      <c r="F232" s="85">
        <f t="shared" si="207"/>
        <v>1</v>
      </c>
      <c r="G232" s="148" t="s">
        <v>750</v>
      </c>
      <c r="H232" s="148">
        <v>18</v>
      </c>
      <c r="I232" s="85"/>
      <c r="J232" s="84" t="s">
        <v>434</v>
      </c>
      <c r="K232" s="84" t="s">
        <v>55</v>
      </c>
      <c r="L232" s="146"/>
      <c r="M232" s="96" t="s">
        <v>36</v>
      </c>
      <c r="N232" s="85"/>
      <c r="O232" s="206">
        <v>3961</v>
      </c>
      <c r="P232" s="113">
        <f t="shared" si="208"/>
        <v>1584</v>
      </c>
      <c r="Q232" s="85">
        <f t="shared" si="209"/>
        <v>3051</v>
      </c>
      <c r="R232" s="207" t="s">
        <v>710</v>
      </c>
      <c r="S232" s="154"/>
      <c r="T232" s="154">
        <f t="shared" si="210"/>
        <v>174</v>
      </c>
      <c r="U232" s="87" t="str">
        <f t="shared" si="211"/>
        <v>PAYPAL</v>
      </c>
      <c r="V232" s="97">
        <v>2</v>
      </c>
      <c r="W232" t="s">
        <v>890</v>
      </c>
      <c r="X232" s="89">
        <f t="shared" si="212"/>
        <v>4635</v>
      </c>
      <c r="Y232" s="154"/>
      <c r="Z232" s="113">
        <f t="shared" si="213"/>
        <v>0</v>
      </c>
      <c r="AA232" s="113">
        <f t="shared" si="214"/>
        <v>130</v>
      </c>
      <c r="AB232" s="113"/>
      <c r="AC232" s="155">
        <f t="shared" si="215"/>
        <v>4005</v>
      </c>
      <c r="AD232" s="113"/>
      <c r="AE232" s="113">
        <f t="shared" si="216"/>
        <v>30</v>
      </c>
      <c r="AF232" s="113">
        <f>IF(AG232&gt;0,AG120:AG232,0)</f>
        <v>3975</v>
      </c>
      <c r="AG232" s="113">
        <f t="shared" si="217"/>
        <v>3975</v>
      </c>
      <c r="AI232">
        <f t="shared" si="218"/>
        <v>0</v>
      </c>
      <c r="AJ232">
        <f t="shared" si="219"/>
        <v>0</v>
      </c>
      <c r="AK232">
        <f t="shared" si="220"/>
        <v>0</v>
      </c>
      <c r="AL232">
        <f t="shared" si="221"/>
        <v>0</v>
      </c>
      <c r="AN232">
        <f t="shared" si="222"/>
        <v>0</v>
      </c>
      <c r="AO232">
        <f t="shared" si="223"/>
        <v>0</v>
      </c>
      <c r="AP232">
        <f t="shared" si="224"/>
        <v>0</v>
      </c>
      <c r="AQ232">
        <f t="shared" si="225"/>
        <v>0</v>
      </c>
    </row>
    <row r="233" spans="1:44" x14ac:dyDescent="0.3">
      <c r="B233" s="86" t="s">
        <v>745</v>
      </c>
      <c r="C233" t="s">
        <v>746</v>
      </c>
      <c r="D233" s="84" t="s">
        <v>370</v>
      </c>
      <c r="E233" s="84">
        <f>IF(D184=$B$12,H233,0)</f>
        <v>0</v>
      </c>
      <c r="F233" s="84">
        <f t="shared" si="207"/>
        <v>1</v>
      </c>
      <c r="G233" s="148" t="s">
        <v>751</v>
      </c>
      <c r="H233" s="148">
        <v>6</v>
      </c>
      <c r="I233" s="85"/>
      <c r="J233" s="84" t="s">
        <v>103</v>
      </c>
      <c r="K233" s="84" t="s">
        <v>55</v>
      </c>
      <c r="L233" s="90"/>
      <c r="M233" s="96" t="s">
        <v>36</v>
      </c>
      <c r="N233" s="84"/>
      <c r="O233" s="107">
        <v>1766</v>
      </c>
      <c r="P233" s="113">
        <f t="shared" si="208"/>
        <v>706</v>
      </c>
      <c r="Q233" s="85">
        <v>1560</v>
      </c>
      <c r="R233" s="207" t="s">
        <v>752</v>
      </c>
      <c r="S233" s="89"/>
      <c r="T233" s="89">
        <f t="shared" si="210"/>
        <v>88</v>
      </c>
      <c r="U233" s="87" t="str">
        <f t="shared" si="211"/>
        <v>PAYPAL</v>
      </c>
      <c r="V233" s="97">
        <v>2</v>
      </c>
      <c r="W233" t="s">
        <v>890</v>
      </c>
      <c r="X233" s="89">
        <f t="shared" si="212"/>
        <v>2266</v>
      </c>
      <c r="Y233" s="89"/>
      <c r="Z233" s="58">
        <f t="shared" si="213"/>
        <v>0</v>
      </c>
      <c r="AA233" s="58">
        <f t="shared" si="214"/>
        <v>130</v>
      </c>
      <c r="AB233" s="58"/>
      <c r="AC233" s="98">
        <f t="shared" si="215"/>
        <v>1724</v>
      </c>
      <c r="AD233" s="58"/>
      <c r="AE233" s="58">
        <f t="shared" si="216"/>
        <v>30</v>
      </c>
      <c r="AF233" s="58">
        <f>IF(AG233&gt;0,AG122:AG233,0)</f>
        <v>1694</v>
      </c>
      <c r="AG233" s="58">
        <f t="shared" si="217"/>
        <v>1694</v>
      </c>
      <c r="AI233">
        <f t="shared" si="218"/>
        <v>0</v>
      </c>
      <c r="AJ233">
        <f t="shared" si="219"/>
        <v>0</v>
      </c>
      <c r="AK233">
        <f t="shared" si="220"/>
        <v>0</v>
      </c>
      <c r="AL233">
        <f t="shared" si="221"/>
        <v>0</v>
      </c>
      <c r="AN233">
        <f t="shared" si="222"/>
        <v>0</v>
      </c>
      <c r="AO233">
        <f t="shared" si="223"/>
        <v>0</v>
      </c>
      <c r="AP233">
        <f t="shared" si="224"/>
        <v>0</v>
      </c>
      <c r="AQ233">
        <f t="shared" si="225"/>
        <v>0</v>
      </c>
    </row>
    <row r="234" spans="1:44" x14ac:dyDescent="0.3">
      <c r="B234" s="103" t="s">
        <v>82</v>
      </c>
      <c r="C234" s="86" t="s">
        <v>42</v>
      </c>
      <c r="D234" s="84" t="s">
        <v>42</v>
      </c>
      <c r="E234" s="84">
        <f t="shared" ref="E234:E256" si="226">IF(D234=$B$12,H234,0)</f>
        <v>10</v>
      </c>
      <c r="F234" s="84">
        <f t="shared" si="207"/>
        <v>0</v>
      </c>
      <c r="G234" s="108" t="s">
        <v>648</v>
      </c>
      <c r="H234" s="148">
        <v>10</v>
      </c>
      <c r="I234" s="85"/>
      <c r="J234" s="84" t="s">
        <v>63</v>
      </c>
      <c r="K234" s="84" t="s">
        <v>55</v>
      </c>
      <c r="L234" s="90"/>
      <c r="M234" s="96" t="s">
        <v>36</v>
      </c>
      <c r="N234" s="84"/>
      <c r="O234" s="107">
        <v>0</v>
      </c>
      <c r="P234" s="113">
        <f t="shared" si="208"/>
        <v>0</v>
      </c>
      <c r="Q234" s="85">
        <f t="shared" si="209"/>
        <v>0</v>
      </c>
      <c r="R234" s="207"/>
      <c r="S234" s="89"/>
      <c r="T234" s="89">
        <f t="shared" si="210"/>
        <v>0</v>
      </c>
      <c r="U234" s="87" t="str">
        <f t="shared" si="211"/>
        <v>NONE</v>
      </c>
      <c r="V234" s="97"/>
      <c r="W234" s="90"/>
      <c r="X234" s="89">
        <f t="shared" si="212"/>
        <v>0</v>
      </c>
      <c r="Y234" s="89"/>
      <c r="Z234" s="58">
        <f t="shared" si="213"/>
        <v>0</v>
      </c>
      <c r="AA234" s="58">
        <f t="shared" si="214"/>
        <v>130</v>
      </c>
      <c r="AB234" s="58"/>
      <c r="AC234" s="98">
        <f t="shared" si="215"/>
        <v>-130</v>
      </c>
      <c r="AD234" s="58"/>
      <c r="AE234" s="58">
        <f t="shared" si="216"/>
        <v>0</v>
      </c>
      <c r="AF234" s="58">
        <f>IF(AG234&gt;0,AG130:AG234,0)</f>
        <v>0</v>
      </c>
      <c r="AG234" s="58">
        <f t="shared" si="217"/>
        <v>-130</v>
      </c>
      <c r="AI234">
        <f t="shared" si="218"/>
        <v>0</v>
      </c>
      <c r="AJ234">
        <f t="shared" si="219"/>
        <v>0</v>
      </c>
      <c r="AK234">
        <f t="shared" si="220"/>
        <v>0</v>
      </c>
      <c r="AL234">
        <f t="shared" si="221"/>
        <v>0</v>
      </c>
      <c r="AN234">
        <f t="shared" si="222"/>
        <v>0</v>
      </c>
      <c r="AO234">
        <f t="shared" si="223"/>
        <v>0</v>
      </c>
      <c r="AP234">
        <f t="shared" si="224"/>
        <v>0</v>
      </c>
      <c r="AQ234">
        <f t="shared" si="225"/>
        <v>0</v>
      </c>
    </row>
    <row r="235" spans="1:44" x14ac:dyDescent="0.3">
      <c r="B235" s="148" t="s">
        <v>833</v>
      </c>
      <c r="C235" t="s">
        <v>830</v>
      </c>
      <c r="D235" s="84" t="s">
        <v>370</v>
      </c>
      <c r="E235" s="84">
        <f t="shared" si="226"/>
        <v>0</v>
      </c>
      <c r="F235" s="84">
        <f t="shared" si="207"/>
        <v>1</v>
      </c>
      <c r="G235" s="84" t="s">
        <v>829</v>
      </c>
      <c r="H235" s="148">
        <v>5</v>
      </c>
      <c r="I235" s="85"/>
      <c r="J235" s="84" t="s">
        <v>835</v>
      </c>
      <c r="K235" s="84" t="s">
        <v>55</v>
      </c>
      <c r="L235" s="90"/>
      <c r="M235" s="96" t="s">
        <v>36</v>
      </c>
      <c r="N235" s="84"/>
      <c r="O235" s="107">
        <v>2321</v>
      </c>
      <c r="P235" s="113">
        <v>746</v>
      </c>
      <c r="Q235" s="84">
        <f>IF(O235&gt;0,((O235+500)-P235)+T235,0)</f>
        <v>2075</v>
      </c>
      <c r="R235" s="207" t="s">
        <v>831</v>
      </c>
      <c r="S235" s="89"/>
      <c r="T235" s="89">
        <f t="shared" si="210"/>
        <v>0</v>
      </c>
      <c r="U235" s="87" t="str">
        <f t="shared" si="211"/>
        <v>NONE</v>
      </c>
      <c r="V235" s="97"/>
      <c r="W235" s="90" t="s">
        <v>906</v>
      </c>
      <c r="X235" s="89">
        <f t="shared" si="212"/>
        <v>2821</v>
      </c>
      <c r="Y235" s="89"/>
      <c r="Z235" s="58">
        <f t="shared" si="213"/>
        <v>0</v>
      </c>
      <c r="AA235" s="58">
        <f t="shared" si="214"/>
        <v>130</v>
      </c>
      <c r="AB235" s="58"/>
      <c r="AC235" s="98">
        <f t="shared" si="215"/>
        <v>2191</v>
      </c>
      <c r="AD235" s="58"/>
      <c r="AE235" s="58">
        <f t="shared" si="216"/>
        <v>30</v>
      </c>
      <c r="AF235" s="58">
        <f>IF(AG235&gt;0,AG109:AG235,0)</f>
        <v>2161</v>
      </c>
      <c r="AG235" s="58">
        <f>AC235-AE235</f>
        <v>2161</v>
      </c>
      <c r="AH235" s="84"/>
      <c r="AI235" s="84">
        <f>IF(S235=1,O235-T235,0)</f>
        <v>0</v>
      </c>
      <c r="AJ235">
        <f>IF(S235=2,O235-T235,0)</f>
        <v>0</v>
      </c>
      <c r="AK235">
        <f>IF(S235=3,O235-T235,0)</f>
        <v>0</v>
      </c>
      <c r="AL235">
        <f>IF(S235=4,O235-T235,0)</f>
        <v>0</v>
      </c>
      <c r="AN235">
        <f>IF(S235=1,O235-T235,0)</f>
        <v>0</v>
      </c>
      <c r="AO235">
        <f>IF(S235=2,O235-T235,0)</f>
        <v>0</v>
      </c>
      <c r="AP235">
        <f>IF(S235=3,O235-T235,0)</f>
        <v>0</v>
      </c>
      <c r="AQ235">
        <f>IF(S235=4,O235-T235,0)</f>
        <v>0</v>
      </c>
    </row>
    <row r="236" spans="1:44" x14ac:dyDescent="0.3">
      <c r="B236" s="147"/>
      <c r="D236" s="84"/>
      <c r="E236" s="85"/>
      <c r="F236" s="85"/>
      <c r="G236" s="148"/>
      <c r="H236" s="148">
        <v>0</v>
      </c>
      <c r="I236" s="85"/>
      <c r="J236" s="84"/>
      <c r="K236" s="84" t="s">
        <v>55</v>
      </c>
      <c r="L236" s="146"/>
      <c r="M236" s="96" t="s">
        <v>36</v>
      </c>
      <c r="N236" s="85"/>
      <c r="O236" s="107">
        <v>0</v>
      </c>
      <c r="P236" s="113">
        <f t="shared" si="208"/>
        <v>0</v>
      </c>
      <c r="Q236" s="85">
        <f t="shared" si="209"/>
        <v>0</v>
      </c>
      <c r="R236" s="207"/>
      <c r="S236" s="154"/>
      <c r="T236" s="154">
        <f t="shared" si="210"/>
        <v>20</v>
      </c>
      <c r="U236" s="87" t="str">
        <f t="shared" si="211"/>
        <v>PAYPAL</v>
      </c>
      <c r="V236" s="97">
        <v>2</v>
      </c>
      <c r="W236" s="149"/>
      <c r="X236" s="89">
        <f t="shared" si="212"/>
        <v>0</v>
      </c>
      <c r="Y236" s="154"/>
      <c r="Z236" s="113">
        <f t="shared" si="213"/>
        <v>0</v>
      </c>
      <c r="AA236" s="113">
        <f t="shared" si="214"/>
        <v>0</v>
      </c>
      <c r="AB236" s="113"/>
      <c r="AC236" s="155">
        <f t="shared" si="215"/>
        <v>20</v>
      </c>
      <c r="AD236" s="113"/>
      <c r="AE236" s="113">
        <f t="shared" si="216"/>
        <v>0</v>
      </c>
      <c r="AF236" s="113">
        <f>IF(AG236&gt;0,AG126:AG259,0)</f>
        <v>20</v>
      </c>
      <c r="AG236" s="113">
        <f>AC236-AE236</f>
        <v>20</v>
      </c>
      <c r="AI236">
        <f>IF(S236=1,O236-T236,0)</f>
        <v>0</v>
      </c>
      <c r="AJ236">
        <f>IF(S236=2,O236-T236,0)</f>
        <v>0</v>
      </c>
      <c r="AK236">
        <f>IF(S236=3,O236-T236,0)</f>
        <v>0</v>
      </c>
      <c r="AL236">
        <f>IF(S236=4,O236-T236,0)</f>
        <v>0</v>
      </c>
      <c r="AN236">
        <f>IF(S236=1,O236-T236,0)</f>
        <v>0</v>
      </c>
      <c r="AO236">
        <f>IF(S236=2,O236-T236,0)</f>
        <v>0</v>
      </c>
      <c r="AP236">
        <f>IF(S236=3,O236-T236,0)</f>
        <v>0</v>
      </c>
      <c r="AQ236">
        <f>IF(S236=4,O236-T236,0)</f>
        <v>0</v>
      </c>
    </row>
    <row r="237" spans="1:44" x14ac:dyDescent="0.3">
      <c r="B237" s="86" t="s">
        <v>882</v>
      </c>
      <c r="C237" s="86" t="s">
        <v>881</v>
      </c>
      <c r="D237" s="84" t="s">
        <v>885</v>
      </c>
      <c r="E237" s="85">
        <f>IF(D237=$B$12,H237,0)</f>
        <v>0</v>
      </c>
      <c r="F237" s="85">
        <f>IF(E237&gt;0,0,1)</f>
        <v>1</v>
      </c>
      <c r="G237" s="84" t="s">
        <v>880</v>
      </c>
      <c r="H237" s="148">
        <v>7</v>
      </c>
      <c r="I237" s="85"/>
      <c r="J237" s="84" t="s">
        <v>883</v>
      </c>
      <c r="K237" s="84" t="s">
        <v>55</v>
      </c>
      <c r="L237" s="146"/>
      <c r="M237" s="96" t="s">
        <v>36</v>
      </c>
      <c r="N237" s="85"/>
      <c r="O237" s="107">
        <v>1930</v>
      </c>
      <c r="P237" s="113">
        <v>1930</v>
      </c>
      <c r="Q237" s="85">
        <f>IF(O237&gt;0,((O237+500)-P237)+T237,0)</f>
        <v>500</v>
      </c>
      <c r="R237" s="207" t="s">
        <v>34</v>
      </c>
      <c r="S237" s="154"/>
      <c r="T237" s="154">
        <f t="shared" si="210"/>
        <v>0</v>
      </c>
      <c r="U237" s="87" t="str">
        <f>IF(V237=1,$AD$2,IF(V237=2,$AD$1,IF(AND(V237&lt;&gt;1,V237&lt;&gt;20)=TRUE,$AD$3)))</f>
        <v>NONE</v>
      </c>
      <c r="V237" s="97"/>
      <c r="W237" s="146" t="s">
        <v>909</v>
      </c>
      <c r="X237" s="89">
        <f>Q237+P237</f>
        <v>2430</v>
      </c>
      <c r="Y237" s="154"/>
      <c r="Z237" s="113">
        <f>IF(W237=$Z$1,Q237-500,0)</f>
        <v>0</v>
      </c>
      <c r="AA237" s="113">
        <f>IF(H237&gt;0,130,0)</f>
        <v>130</v>
      </c>
      <c r="AB237" s="113"/>
      <c r="AC237" s="155">
        <f>(O237+T237)-AA237</f>
        <v>1800</v>
      </c>
      <c r="AD237" s="113"/>
      <c r="AE237" s="113">
        <f>IF(H237&gt;0,30*F237,0)</f>
        <v>30</v>
      </c>
      <c r="AF237" s="113">
        <f>IF(AG237&gt;0,AG125:AG257,0)</f>
        <v>1770</v>
      </c>
      <c r="AG237" s="113">
        <f>AC237-AE237</f>
        <v>1770</v>
      </c>
      <c r="AI237">
        <f>IF(S237=1,O237-T237,0)</f>
        <v>0</v>
      </c>
      <c r="AJ237">
        <f>IF(S237=2,O237-T237,0)</f>
        <v>0</v>
      </c>
      <c r="AK237">
        <f>IF(S237=3,O237-T237,0)</f>
        <v>0</v>
      </c>
      <c r="AL237">
        <f>IF(S237=4,O237-T237,0)</f>
        <v>0</v>
      </c>
      <c r="AN237">
        <f>IF(S237=1,O237-T237,0)</f>
        <v>0</v>
      </c>
      <c r="AO237">
        <f>IF(S237=2,O237-T237,0)</f>
        <v>0</v>
      </c>
      <c r="AP237">
        <f>IF(S237=3,O237-T237,0)</f>
        <v>0</v>
      </c>
      <c r="AQ237">
        <f>IF(S237=4,O237-T237,0)</f>
        <v>0</v>
      </c>
    </row>
    <row r="238" spans="1:44" x14ac:dyDescent="0.3">
      <c r="B238" s="186" t="s">
        <v>773</v>
      </c>
      <c r="C238" t="s">
        <v>772</v>
      </c>
      <c r="D238" s="84" t="s">
        <v>616</v>
      </c>
      <c r="E238" s="85">
        <f>IF(D238=$B$12,H238,0)</f>
        <v>0</v>
      </c>
      <c r="F238" s="85">
        <f>IF(E238&gt;0,0,1)</f>
        <v>1</v>
      </c>
      <c r="G238" s="215" t="s">
        <v>781</v>
      </c>
      <c r="H238" s="148">
        <v>7</v>
      </c>
      <c r="I238" s="85"/>
      <c r="J238" s="84" t="s">
        <v>363</v>
      </c>
      <c r="K238" s="84" t="s">
        <v>55</v>
      </c>
      <c r="L238" s="146"/>
      <c r="M238" s="96" t="s">
        <v>36</v>
      </c>
      <c r="N238" s="85"/>
      <c r="O238" s="107">
        <v>2321</v>
      </c>
      <c r="P238" s="113">
        <f>ROUND((O238*0.4),0)</f>
        <v>928</v>
      </c>
      <c r="Q238" s="85">
        <f>IF(O238&gt;0,((O238+500)-P238)+T238,0)</f>
        <v>1893</v>
      </c>
      <c r="R238" s="207" t="s">
        <v>774</v>
      </c>
      <c r="S238" s="154"/>
      <c r="T238" s="154">
        <f t="shared" si="210"/>
        <v>0</v>
      </c>
      <c r="U238" s="87" t="str">
        <f>IF(V238=1,$AD$2,IF(V238=2,$AD$1,IF(AND(V238&lt;&gt;1,V238&lt;&gt;20)=TRUE,$AD$3)))</f>
        <v>NONE</v>
      </c>
      <c r="V238" s="97"/>
      <c r="W238" s="90" t="s">
        <v>908</v>
      </c>
      <c r="X238" s="89">
        <f>Q238+P238</f>
        <v>2821</v>
      </c>
      <c r="Y238" s="154"/>
      <c r="Z238" s="113">
        <f>IF(W238=$Z$1,Q238-500,0)</f>
        <v>0</v>
      </c>
      <c r="AA238" s="113">
        <f>IF(H238&gt;0,130,0)</f>
        <v>130</v>
      </c>
      <c r="AB238" s="113"/>
      <c r="AC238" s="155">
        <f>(O238+T238)-AA238</f>
        <v>2191</v>
      </c>
      <c r="AD238" s="113"/>
      <c r="AE238" s="113">
        <f>IF(H238&gt;0,30*F238,0)</f>
        <v>30</v>
      </c>
      <c r="AF238" s="113">
        <f>IF(AG238&gt;0,AG127:AG238,0)</f>
        <v>2161</v>
      </c>
      <c r="AG238" s="113">
        <f>AC238-AE238</f>
        <v>2161</v>
      </c>
      <c r="AI238">
        <f>IF(S238=1,O238-T238,0)</f>
        <v>0</v>
      </c>
      <c r="AJ238">
        <f>IF(S238=2,O238-T238,0)</f>
        <v>0</v>
      </c>
      <c r="AK238">
        <f>IF(S238=3,O238-T238,0)</f>
        <v>0</v>
      </c>
      <c r="AL238">
        <f>IF(S238=4,O238-T238,0)</f>
        <v>0</v>
      </c>
      <c r="AN238">
        <f>IF(S238=1,O238-T238,0)</f>
        <v>0</v>
      </c>
      <c r="AO238">
        <f>IF(S238=2,O238-T238,0)</f>
        <v>0</v>
      </c>
      <c r="AP238">
        <f>IF(S238=3,O238-T238,0)</f>
        <v>0</v>
      </c>
      <c r="AQ238">
        <f>IF(S238=4,O238-T238,0)</f>
        <v>0</v>
      </c>
    </row>
    <row r="239" spans="1:44" x14ac:dyDescent="0.3">
      <c r="B239" s="103" t="s">
        <v>82</v>
      </c>
      <c r="C239" s="86" t="s">
        <v>42</v>
      </c>
      <c r="D239" s="84" t="s">
        <v>42</v>
      </c>
      <c r="E239" s="85">
        <f t="shared" si="226"/>
        <v>9</v>
      </c>
      <c r="F239" s="85">
        <f t="shared" si="207"/>
        <v>0</v>
      </c>
      <c r="G239" s="108" t="s">
        <v>782</v>
      </c>
      <c r="H239" s="148">
        <v>9</v>
      </c>
      <c r="I239" s="88"/>
      <c r="J239" s="84" t="s">
        <v>63</v>
      </c>
      <c r="K239" s="84" t="s">
        <v>55</v>
      </c>
      <c r="L239" s="60"/>
      <c r="M239" s="96" t="s">
        <v>36</v>
      </c>
      <c r="N239" s="84"/>
      <c r="O239" s="107">
        <v>0</v>
      </c>
      <c r="P239" s="113">
        <f t="shared" si="208"/>
        <v>0</v>
      </c>
      <c r="Q239" s="85">
        <f t="shared" si="209"/>
        <v>0</v>
      </c>
      <c r="R239" s="207"/>
      <c r="S239" s="154"/>
      <c r="T239" s="154">
        <v>0</v>
      </c>
      <c r="U239" s="87" t="str">
        <f t="shared" si="211"/>
        <v>NONE</v>
      </c>
      <c r="V239" s="97"/>
      <c r="W239" s="146"/>
      <c r="X239" s="89">
        <f t="shared" si="212"/>
        <v>0</v>
      </c>
      <c r="Y239" s="154"/>
      <c r="Z239" s="113">
        <f t="shared" si="213"/>
        <v>0</v>
      </c>
      <c r="AA239" s="113">
        <f t="shared" si="214"/>
        <v>130</v>
      </c>
      <c r="AB239" s="113"/>
      <c r="AC239" s="155">
        <f t="shared" si="215"/>
        <v>-130</v>
      </c>
      <c r="AD239" s="113"/>
      <c r="AE239" s="113">
        <f t="shared" si="216"/>
        <v>0</v>
      </c>
      <c r="AF239" s="113">
        <f>IF(AG239&gt;0,AG134:AG239,0)</f>
        <v>0</v>
      </c>
      <c r="AG239" s="113">
        <f t="shared" ref="AG239:AG256" si="227">AC239-AE239</f>
        <v>-130</v>
      </c>
      <c r="AI239">
        <f t="shared" ref="AI239:AI256" si="228">IF(S239=1,O239-T239,0)</f>
        <v>0</v>
      </c>
      <c r="AJ239">
        <f t="shared" ref="AJ239:AJ256" si="229">IF(S239=2,O239-T239,0)</f>
        <v>0</v>
      </c>
      <c r="AK239">
        <f t="shared" ref="AK239:AK256" si="230">IF(S239=3,O239-T239,0)</f>
        <v>0</v>
      </c>
      <c r="AL239">
        <f t="shared" ref="AL239:AL256" si="231">IF(S239=4,O239-T239,0)</f>
        <v>0</v>
      </c>
      <c r="AN239">
        <f t="shared" ref="AN239:AN256" si="232">IF(S239=1,O239-T239,0)</f>
        <v>0</v>
      </c>
      <c r="AO239">
        <f t="shared" ref="AO239:AO256" si="233">IF(S239=2,O239-T239,0)</f>
        <v>0</v>
      </c>
      <c r="AP239">
        <f t="shared" ref="AP239:AP256" si="234">IF(S239=3,O239-T239,0)</f>
        <v>0</v>
      </c>
      <c r="AQ239">
        <f t="shared" ref="AQ239:AQ256" si="235">IF(S239=4,O239-T239,0)</f>
        <v>0</v>
      </c>
    </row>
    <row r="240" spans="1:44" x14ac:dyDescent="0.3">
      <c r="B240" s="221" t="s">
        <v>783</v>
      </c>
      <c r="C240" t="s">
        <v>784</v>
      </c>
      <c r="D240" s="84" t="s">
        <v>616</v>
      </c>
      <c r="E240" s="85">
        <f t="shared" si="226"/>
        <v>0</v>
      </c>
      <c r="F240" s="85">
        <f t="shared" si="207"/>
        <v>1</v>
      </c>
      <c r="G240" s="215" t="s">
        <v>785</v>
      </c>
      <c r="H240" s="148">
        <v>14</v>
      </c>
      <c r="I240" s="85"/>
      <c r="J240" s="84" t="s">
        <v>777</v>
      </c>
      <c r="K240" s="84" t="s">
        <v>55</v>
      </c>
      <c r="L240" s="146"/>
      <c r="M240" s="96" t="s">
        <v>36</v>
      </c>
      <c r="N240" s="85"/>
      <c r="O240" s="107">
        <v>3038</v>
      </c>
      <c r="P240" s="113">
        <f>ROUND((O240*0.4),0)</f>
        <v>1215</v>
      </c>
      <c r="Q240" s="85">
        <f>IF(O240&gt;0,((O240+500)-P240)+T240,0)</f>
        <v>2323</v>
      </c>
      <c r="R240" s="207" t="s">
        <v>786</v>
      </c>
      <c r="S240" s="154"/>
      <c r="T240" s="154">
        <f t="shared" ref="T240:T247" si="236">IF(U240=$AD$2,47,IF(U240=$AD$1,ROUND(((O240+500)*0.039),0),IF(U240=$AD$3,0)))</f>
        <v>0</v>
      </c>
      <c r="U240" s="87" t="str">
        <f t="shared" si="211"/>
        <v>NONE</v>
      </c>
      <c r="V240" s="97"/>
      <c r="W240" s="90" t="s">
        <v>884</v>
      </c>
      <c r="X240" s="89">
        <f t="shared" si="212"/>
        <v>3538</v>
      </c>
      <c r="Y240" s="154"/>
      <c r="Z240" s="113">
        <f t="shared" si="213"/>
        <v>0</v>
      </c>
      <c r="AA240" s="113">
        <f t="shared" si="214"/>
        <v>130</v>
      </c>
      <c r="AB240" s="113"/>
      <c r="AC240" s="155">
        <f t="shared" si="215"/>
        <v>2908</v>
      </c>
      <c r="AD240" s="113"/>
      <c r="AE240" s="113">
        <f t="shared" si="216"/>
        <v>30</v>
      </c>
      <c r="AF240" s="113">
        <f>IF(AG240&gt;0,AG129:AG240,0)</f>
        <v>2878</v>
      </c>
      <c r="AG240" s="113">
        <f t="shared" si="227"/>
        <v>2878</v>
      </c>
      <c r="AI240">
        <f t="shared" si="228"/>
        <v>0</v>
      </c>
      <c r="AJ240">
        <f t="shared" si="229"/>
        <v>0</v>
      </c>
      <c r="AK240">
        <f t="shared" si="230"/>
        <v>0</v>
      </c>
      <c r="AL240">
        <f t="shared" si="231"/>
        <v>0</v>
      </c>
      <c r="AN240">
        <f t="shared" si="232"/>
        <v>0</v>
      </c>
      <c r="AO240">
        <f t="shared" si="233"/>
        <v>0</v>
      </c>
      <c r="AP240">
        <f t="shared" si="234"/>
        <v>0</v>
      </c>
      <c r="AQ240">
        <f t="shared" si="235"/>
        <v>0</v>
      </c>
    </row>
    <row r="241" spans="2:43" x14ac:dyDescent="0.3">
      <c r="B241" s="86" t="s">
        <v>912</v>
      </c>
      <c r="C241" t="s">
        <v>911</v>
      </c>
      <c r="D241" s="84" t="s">
        <v>885</v>
      </c>
      <c r="E241" s="85">
        <f t="shared" si="226"/>
        <v>0</v>
      </c>
      <c r="F241" s="85">
        <f t="shared" si="207"/>
        <v>1</v>
      </c>
      <c r="G241" s="85" t="s">
        <v>546</v>
      </c>
      <c r="H241" s="148">
        <v>7</v>
      </c>
      <c r="I241" s="85"/>
      <c r="J241" s="84" t="s">
        <v>907</v>
      </c>
      <c r="K241" s="84" t="s">
        <v>55</v>
      </c>
      <c r="L241" s="146"/>
      <c r="M241" s="96" t="s">
        <v>36</v>
      </c>
      <c r="N241" s="85"/>
      <c r="O241" s="107">
        <v>1786</v>
      </c>
      <c r="P241" s="113">
        <f t="shared" si="208"/>
        <v>714</v>
      </c>
      <c r="Q241" s="85">
        <f t="shared" si="209"/>
        <v>1572</v>
      </c>
      <c r="R241" s="207" t="s">
        <v>34</v>
      </c>
      <c r="S241" s="154"/>
      <c r="T241" s="154">
        <f t="shared" si="236"/>
        <v>0</v>
      </c>
      <c r="U241" s="87" t="str">
        <f t="shared" si="211"/>
        <v>NONE</v>
      </c>
      <c r="V241" s="97"/>
      <c r="W241" s="146" t="s">
        <v>918</v>
      </c>
      <c r="X241" s="89">
        <f t="shared" si="212"/>
        <v>2286</v>
      </c>
      <c r="Y241" s="154"/>
      <c r="Z241" s="113">
        <f t="shared" si="213"/>
        <v>0</v>
      </c>
      <c r="AA241" s="113">
        <f t="shared" si="214"/>
        <v>130</v>
      </c>
      <c r="AB241" s="113"/>
      <c r="AC241" s="155">
        <f t="shared" si="215"/>
        <v>1656</v>
      </c>
      <c r="AD241" s="113"/>
      <c r="AE241" s="113">
        <f t="shared" si="216"/>
        <v>30</v>
      </c>
      <c r="AF241" s="113">
        <f>IF(AG241&gt;0,AG129:AG261,0)</f>
        <v>1626</v>
      </c>
      <c r="AG241" s="113">
        <f t="shared" si="227"/>
        <v>1626</v>
      </c>
      <c r="AI241">
        <f t="shared" si="228"/>
        <v>0</v>
      </c>
      <c r="AJ241">
        <f t="shared" si="229"/>
        <v>0</v>
      </c>
      <c r="AK241">
        <f t="shared" si="230"/>
        <v>0</v>
      </c>
      <c r="AL241">
        <f t="shared" si="231"/>
        <v>0</v>
      </c>
      <c r="AN241">
        <f t="shared" si="232"/>
        <v>0</v>
      </c>
      <c r="AO241">
        <f t="shared" si="233"/>
        <v>0</v>
      </c>
      <c r="AP241">
        <f t="shared" si="234"/>
        <v>0</v>
      </c>
      <c r="AQ241">
        <f t="shared" si="235"/>
        <v>0</v>
      </c>
    </row>
    <row r="242" spans="2:43" x14ac:dyDescent="0.3">
      <c r="C242" s="84"/>
      <c r="D242" s="84"/>
      <c r="E242" s="85">
        <f t="shared" si="226"/>
        <v>0</v>
      </c>
      <c r="F242" s="85">
        <f t="shared" si="207"/>
        <v>1</v>
      </c>
      <c r="G242" s="85"/>
      <c r="H242" s="148">
        <v>0</v>
      </c>
      <c r="I242" s="85"/>
      <c r="J242" s="84"/>
      <c r="K242" s="84" t="s">
        <v>55</v>
      </c>
      <c r="L242" s="146"/>
      <c r="M242" s="96" t="s">
        <v>36</v>
      </c>
      <c r="N242" s="85"/>
      <c r="O242" s="107">
        <v>0</v>
      </c>
      <c r="P242" s="113">
        <f t="shared" si="208"/>
        <v>0</v>
      </c>
      <c r="Q242" s="85">
        <f t="shared" si="209"/>
        <v>0</v>
      </c>
      <c r="R242" s="207"/>
      <c r="S242" s="154"/>
      <c r="T242" s="154">
        <f t="shared" si="236"/>
        <v>0</v>
      </c>
      <c r="U242" s="87" t="str">
        <f t="shared" si="211"/>
        <v>NONE</v>
      </c>
      <c r="V242" s="97"/>
      <c r="W242" s="146"/>
      <c r="X242" s="89">
        <f t="shared" si="212"/>
        <v>0</v>
      </c>
      <c r="Y242" s="154"/>
      <c r="Z242" s="113">
        <f>IF(W242=$Z$1,Q242-500,0)</f>
        <v>0</v>
      </c>
      <c r="AA242" s="113">
        <f t="shared" si="214"/>
        <v>0</v>
      </c>
      <c r="AB242" s="113"/>
      <c r="AC242" s="155">
        <f t="shared" si="215"/>
        <v>0</v>
      </c>
      <c r="AD242" s="113"/>
      <c r="AE242" s="113">
        <f t="shared" si="216"/>
        <v>0</v>
      </c>
      <c r="AF242" s="113">
        <f>IF(AG242&gt;0,AG123:AG242,0)</f>
        <v>0</v>
      </c>
      <c r="AG242" s="113">
        <f t="shared" si="227"/>
        <v>0</v>
      </c>
      <c r="AI242">
        <f t="shared" si="228"/>
        <v>0</v>
      </c>
      <c r="AJ242">
        <f t="shared" si="229"/>
        <v>0</v>
      </c>
      <c r="AK242">
        <f t="shared" si="230"/>
        <v>0</v>
      </c>
      <c r="AL242">
        <f t="shared" si="231"/>
        <v>0</v>
      </c>
      <c r="AN242">
        <f t="shared" si="232"/>
        <v>0</v>
      </c>
      <c r="AO242">
        <f t="shared" si="233"/>
        <v>0</v>
      </c>
      <c r="AP242">
        <f t="shared" si="234"/>
        <v>0</v>
      </c>
      <c r="AQ242">
        <f t="shared" si="235"/>
        <v>0</v>
      </c>
    </row>
    <row r="243" spans="2:43" x14ac:dyDescent="0.3">
      <c r="B243" s="103" t="s">
        <v>82</v>
      </c>
      <c r="C243" s="86" t="s">
        <v>42</v>
      </c>
      <c r="D243" s="84" t="s">
        <v>42</v>
      </c>
      <c r="E243" s="84">
        <f t="shared" si="226"/>
        <v>3</v>
      </c>
      <c r="F243" s="84">
        <f t="shared" si="207"/>
        <v>0</v>
      </c>
      <c r="G243" s="108" t="s">
        <v>910</v>
      </c>
      <c r="H243" s="148">
        <v>3</v>
      </c>
      <c r="I243" s="85"/>
      <c r="J243" s="84" t="s">
        <v>63</v>
      </c>
      <c r="K243" s="84" t="s">
        <v>55</v>
      </c>
      <c r="L243" s="90"/>
      <c r="M243" s="96" t="s">
        <v>36</v>
      </c>
      <c r="N243" s="84"/>
      <c r="O243" s="107">
        <v>0</v>
      </c>
      <c r="P243" s="113">
        <f t="shared" si="208"/>
        <v>0</v>
      </c>
      <c r="Q243" s="85">
        <f>IF(O243&gt;0,((O243+500)-P243)+T243,0)</f>
        <v>0</v>
      </c>
      <c r="R243" s="207"/>
      <c r="S243" s="89"/>
      <c r="T243" s="154">
        <f t="shared" si="236"/>
        <v>0</v>
      </c>
      <c r="U243" s="87" t="str">
        <f t="shared" si="211"/>
        <v>NONE</v>
      </c>
      <c r="V243" s="97"/>
      <c r="W243" s="90"/>
      <c r="X243" s="89">
        <f t="shared" si="212"/>
        <v>0</v>
      </c>
      <c r="Y243" s="89"/>
      <c r="Z243" s="58">
        <f t="shared" si="213"/>
        <v>0</v>
      </c>
      <c r="AA243" s="58">
        <f t="shared" si="214"/>
        <v>130</v>
      </c>
      <c r="AB243" s="58"/>
      <c r="AC243" s="98">
        <f t="shared" si="215"/>
        <v>-130</v>
      </c>
      <c r="AD243" s="58"/>
      <c r="AE243" s="58">
        <f t="shared" si="216"/>
        <v>0</v>
      </c>
      <c r="AF243" s="58">
        <f>IF(AG243&gt;0,AG126:AG243,0)</f>
        <v>0</v>
      </c>
      <c r="AG243" s="58">
        <f t="shared" si="227"/>
        <v>-130</v>
      </c>
      <c r="AI243">
        <f t="shared" si="228"/>
        <v>0</v>
      </c>
      <c r="AJ243">
        <f t="shared" si="229"/>
        <v>0</v>
      </c>
      <c r="AK243">
        <f t="shared" si="230"/>
        <v>0</v>
      </c>
      <c r="AL243">
        <f t="shared" si="231"/>
        <v>0</v>
      </c>
      <c r="AN243">
        <f t="shared" si="232"/>
        <v>0</v>
      </c>
      <c r="AO243">
        <f t="shared" si="233"/>
        <v>0</v>
      </c>
      <c r="AP243">
        <f t="shared" si="234"/>
        <v>0</v>
      </c>
      <c r="AQ243">
        <f t="shared" si="235"/>
        <v>0</v>
      </c>
    </row>
    <row r="244" spans="2:43" x14ac:dyDescent="0.3">
      <c r="B244" s="86" t="s">
        <v>893</v>
      </c>
      <c r="C244" s="84"/>
      <c r="D244" s="84"/>
      <c r="E244" s="84"/>
      <c r="F244" s="84"/>
      <c r="G244" s="84"/>
      <c r="H244" s="148"/>
      <c r="I244" s="85"/>
      <c r="J244" s="84"/>
      <c r="K244" s="84" t="s">
        <v>55</v>
      </c>
      <c r="L244" s="146"/>
      <c r="M244" s="96" t="s">
        <v>36</v>
      </c>
      <c r="N244" s="85"/>
      <c r="O244" s="107">
        <v>0</v>
      </c>
      <c r="P244" s="113">
        <f t="shared" si="208"/>
        <v>0</v>
      </c>
      <c r="Q244" s="85">
        <f t="shared" ref="Q244:Q251" si="237">IF(O244&gt;0,((O244+500)-P244)+T244,0)</f>
        <v>0</v>
      </c>
      <c r="R244" s="207"/>
      <c r="S244" s="154"/>
      <c r="T244" s="154">
        <f t="shared" si="236"/>
        <v>0</v>
      </c>
      <c r="U244" s="87" t="str">
        <f t="shared" si="211"/>
        <v>NONE</v>
      </c>
      <c r="V244" s="97"/>
      <c r="W244" s="109"/>
      <c r="X244" s="89">
        <f t="shared" si="212"/>
        <v>0</v>
      </c>
      <c r="Y244" s="154"/>
      <c r="Z244" s="113">
        <f t="shared" si="213"/>
        <v>0</v>
      </c>
      <c r="AA244" s="113">
        <f t="shared" si="214"/>
        <v>0</v>
      </c>
      <c r="AB244" s="113"/>
      <c r="AC244" s="155">
        <f t="shared" si="215"/>
        <v>0</v>
      </c>
      <c r="AD244" s="113"/>
      <c r="AE244" s="113">
        <f t="shared" si="216"/>
        <v>0</v>
      </c>
      <c r="AF244" s="113">
        <f>IF(AG244&gt;0,AG126:AG257,0)</f>
        <v>0</v>
      </c>
      <c r="AG244" s="113">
        <f t="shared" si="227"/>
        <v>0</v>
      </c>
      <c r="AI244">
        <f t="shared" si="228"/>
        <v>0</v>
      </c>
      <c r="AJ244">
        <f t="shared" si="229"/>
        <v>0</v>
      </c>
      <c r="AK244">
        <f t="shared" si="230"/>
        <v>0</v>
      </c>
      <c r="AL244">
        <f t="shared" si="231"/>
        <v>0</v>
      </c>
      <c r="AN244">
        <f t="shared" si="232"/>
        <v>0</v>
      </c>
      <c r="AO244">
        <f t="shared" si="233"/>
        <v>0</v>
      </c>
      <c r="AP244">
        <f t="shared" si="234"/>
        <v>0</v>
      </c>
      <c r="AQ244">
        <f t="shared" si="235"/>
        <v>0</v>
      </c>
    </row>
    <row r="245" spans="2:43" x14ac:dyDescent="0.3">
      <c r="B245" s="84" t="s">
        <v>919</v>
      </c>
      <c r="C245" t="s">
        <v>920</v>
      </c>
      <c r="D245" s="84" t="s">
        <v>885</v>
      </c>
      <c r="E245" s="85">
        <f>IF(D245=$B$12,H245,0)</f>
        <v>0</v>
      </c>
      <c r="F245" s="85">
        <f>IF(E245&gt;0,0,1)</f>
        <v>1</v>
      </c>
      <c r="G245" s="85" t="s">
        <v>921</v>
      </c>
      <c r="H245" s="148">
        <v>5</v>
      </c>
      <c r="I245" s="85"/>
      <c r="J245" s="84" t="s">
        <v>922</v>
      </c>
      <c r="K245" s="84" t="s">
        <v>55</v>
      </c>
      <c r="L245" s="146"/>
      <c r="M245" s="96" t="s">
        <v>36</v>
      </c>
      <c r="N245" s="85"/>
      <c r="O245" s="107">
        <v>1427</v>
      </c>
      <c r="P245" s="113">
        <f>ROUND((O245*0.4),0)</f>
        <v>571</v>
      </c>
      <c r="Q245" s="85">
        <f>IF(O245&gt;0,((O245+500)-P245)+T245,0)</f>
        <v>1356</v>
      </c>
      <c r="R245" s="207" t="s">
        <v>156</v>
      </c>
      <c r="S245" s="154"/>
      <c r="T245" s="154">
        <f t="shared" si="236"/>
        <v>0</v>
      </c>
      <c r="U245" s="87" t="str">
        <f>IF(V245=1,$AD$2,IF(V245=2,$AD$1,IF(AND(V245&lt;&gt;1,V245&lt;&gt;20)=TRUE,$AD$3)))</f>
        <v>NONE</v>
      </c>
      <c r="V245" s="97"/>
      <c r="W245" s="146" t="s">
        <v>933</v>
      </c>
      <c r="X245" s="89">
        <f>Q245+P245</f>
        <v>1927</v>
      </c>
      <c r="Y245" s="154"/>
      <c r="Z245" s="113">
        <f>IF(W245=$Z$1,Q245-500,0)</f>
        <v>0</v>
      </c>
      <c r="AA245" s="113">
        <f>IF(H245&gt;0,130,0)</f>
        <v>130</v>
      </c>
      <c r="AB245" s="113"/>
      <c r="AC245" s="155">
        <f>(O245+T245)-AA245</f>
        <v>1297</v>
      </c>
      <c r="AD245" s="113"/>
      <c r="AE245" s="113">
        <f>IF(H245&gt;0,30*F245,0)</f>
        <v>30</v>
      </c>
      <c r="AF245" s="113">
        <f>IF(AG245&gt;0,AG126:AG245,0)</f>
        <v>1267</v>
      </c>
      <c r="AG245" s="113">
        <f>AC245-AE245</f>
        <v>1267</v>
      </c>
      <c r="AI245">
        <f>IF(S245=1,O245-T245,0)</f>
        <v>0</v>
      </c>
      <c r="AJ245">
        <f>IF(S245=2,O245-T245,0)</f>
        <v>0</v>
      </c>
      <c r="AK245">
        <f>IF(S245=3,O245-T245,0)</f>
        <v>0</v>
      </c>
      <c r="AL245">
        <f>IF(S245=4,O245-T245,0)</f>
        <v>0</v>
      </c>
      <c r="AN245">
        <f>IF(S245=1,O245-T245,0)</f>
        <v>0</v>
      </c>
      <c r="AO245">
        <f>IF(S245=2,O245-T245,0)</f>
        <v>0</v>
      </c>
      <c r="AP245">
        <f>IF(S245=3,O245-T245,0)</f>
        <v>0</v>
      </c>
      <c r="AQ245">
        <f>IF(S245=4,O245-T245,0)</f>
        <v>0</v>
      </c>
    </row>
    <row r="246" spans="2:43" s="84" customFormat="1" x14ac:dyDescent="0.3">
      <c r="B246" s="84" t="s">
        <v>894</v>
      </c>
      <c r="C246" t="s">
        <v>205</v>
      </c>
      <c r="D246" s="84" t="s">
        <v>370</v>
      </c>
      <c r="E246" s="84">
        <f>IF(D246=$B$12,H246,0)</f>
        <v>0</v>
      </c>
      <c r="F246" s="84">
        <f>IF(E246&gt;0,0,1)</f>
        <v>1</v>
      </c>
      <c r="G246" s="84" t="s">
        <v>895</v>
      </c>
      <c r="H246" s="148">
        <v>7</v>
      </c>
      <c r="I246" s="85"/>
      <c r="J246" s="84" t="s">
        <v>857</v>
      </c>
      <c r="K246" s="84" t="s">
        <v>55</v>
      </c>
      <c r="L246" s="60"/>
      <c r="M246" s="96" t="s">
        <v>36</v>
      </c>
      <c r="O246" s="107">
        <v>1515</v>
      </c>
      <c r="P246" s="113">
        <v>673</v>
      </c>
      <c r="Q246" s="85">
        <f>IF(O246&gt;0,((O246+500)-P246)+T246,0)</f>
        <v>1342</v>
      </c>
      <c r="R246" s="207" t="s">
        <v>896</v>
      </c>
      <c r="S246" s="89"/>
      <c r="T246" s="89">
        <f t="shared" si="236"/>
        <v>0</v>
      </c>
      <c r="U246" s="87" t="str">
        <f>IF(V246=1,$AD$2,IF(V246=2,$AD$1,IF(AND(V246&lt;&gt;1,V246&lt;&gt;20)=TRUE,$AD$3)))</f>
        <v>NONE</v>
      </c>
      <c r="V246" s="97"/>
      <c r="W246" s="90" t="s">
        <v>721</v>
      </c>
      <c r="X246" s="89">
        <f>Q246+P246</f>
        <v>2015</v>
      </c>
      <c r="Y246" s="89"/>
      <c r="Z246" s="58">
        <f>IF(W246=$Z$1,Q246-500,0)</f>
        <v>0</v>
      </c>
      <c r="AA246" s="58">
        <f>IF(H246&gt;0,130,0)</f>
        <v>130</v>
      </c>
      <c r="AB246" s="58"/>
      <c r="AC246" s="98">
        <f>(O246+T246)-AA246</f>
        <v>1385</v>
      </c>
      <c r="AD246" s="58"/>
      <c r="AE246" s="58">
        <f>IF(H246&gt;0,30*F246,0)</f>
        <v>30</v>
      </c>
      <c r="AF246" s="58">
        <f>IF(AG246&gt;0,AG130:AG246,0)</f>
        <v>1355</v>
      </c>
      <c r="AG246" s="58">
        <f>AC246-AE246</f>
        <v>1355</v>
      </c>
      <c r="AI246" s="84">
        <f>IF(S246=1,O246-T246,0)</f>
        <v>0</v>
      </c>
      <c r="AJ246" s="84">
        <f>IF(S246=2,O246-T246,0)</f>
        <v>0</v>
      </c>
      <c r="AK246" s="84">
        <f>IF(S246=3,O246-T246,0)</f>
        <v>0</v>
      </c>
      <c r="AL246" s="84">
        <f>IF(S246=4,O246-T246,0)</f>
        <v>0</v>
      </c>
      <c r="AN246" s="84">
        <f>IF(S246=1,O246-T246,0)</f>
        <v>0</v>
      </c>
      <c r="AO246" s="84">
        <f>IF(S246=2,O246-T246,0)</f>
        <v>0</v>
      </c>
      <c r="AP246" s="84">
        <f>IF(S246=3,O246-T246,0)</f>
        <v>0</v>
      </c>
      <c r="AQ246" s="84">
        <f>IF(S246=4,O246-T246,0)</f>
        <v>0</v>
      </c>
    </row>
    <row r="247" spans="2:43" s="84" customFormat="1" x14ac:dyDescent="0.3">
      <c r="B247" s="86" t="s">
        <v>925</v>
      </c>
      <c r="C247" t="s">
        <v>927</v>
      </c>
      <c r="D247" s="84" t="s">
        <v>822</v>
      </c>
      <c r="E247" s="84">
        <f>IF(D247=$B$12,H247,0)</f>
        <v>0</v>
      </c>
      <c r="F247" s="84">
        <f>IF(E247&gt;0,0,1)</f>
        <v>1</v>
      </c>
      <c r="G247" s="84" t="s">
        <v>926</v>
      </c>
      <c r="H247" s="148">
        <v>4</v>
      </c>
      <c r="I247" s="85"/>
      <c r="J247" s="84" t="s">
        <v>74</v>
      </c>
      <c r="K247" s="84" t="s">
        <v>55</v>
      </c>
      <c r="L247" s="60"/>
      <c r="M247" s="96" t="s">
        <v>36</v>
      </c>
      <c r="O247" s="107">
        <v>989</v>
      </c>
      <c r="P247" s="113">
        <f>ROUND((O247*0.4),0)</f>
        <v>396</v>
      </c>
      <c r="Q247" s="85">
        <f>IF(O247&gt;0,((O247+500)-P247)+T247,0)</f>
        <v>1093</v>
      </c>
      <c r="R247" s="207"/>
      <c r="S247" s="89"/>
      <c r="T247" s="89">
        <f t="shared" si="236"/>
        <v>0</v>
      </c>
      <c r="U247" s="87" t="str">
        <f>IF(V247=1,$AD$2,IF(V247=2,$AD$1,IF(AND(V247&lt;&gt;1,V247&lt;&gt;20)=TRUE,$AD$3)))</f>
        <v>NONE</v>
      </c>
      <c r="V247" s="97"/>
      <c r="W247" s="90" t="s">
        <v>928</v>
      </c>
      <c r="X247" s="89">
        <f>Q247+P247</f>
        <v>1489</v>
      </c>
      <c r="Y247" s="89"/>
      <c r="Z247" s="58">
        <f>IF(W247=$Z$1,Q247-500,0)</f>
        <v>0</v>
      </c>
      <c r="AA247" s="58">
        <f>IF(H247&gt;0,130,0)</f>
        <v>130</v>
      </c>
      <c r="AB247" s="58"/>
      <c r="AC247" s="98">
        <f>(O247+T247)-AA247</f>
        <v>859</v>
      </c>
      <c r="AD247" s="58"/>
      <c r="AE247" s="58">
        <f>IF(H247&gt;0,30*F247,0)</f>
        <v>30</v>
      </c>
      <c r="AF247" s="58">
        <f>IF(AG247&gt;0,AG130:AG247,0)</f>
        <v>829</v>
      </c>
      <c r="AG247" s="58">
        <f>AC247-AE247</f>
        <v>829</v>
      </c>
      <c r="AI247" s="84">
        <f>IF(S247=1,O247-T247,0)</f>
        <v>0</v>
      </c>
      <c r="AJ247" s="84">
        <f>IF(S247=2,O247-T247,0)</f>
        <v>0</v>
      </c>
      <c r="AK247" s="84">
        <f>IF(S247=3,O247-T247,0)</f>
        <v>0</v>
      </c>
      <c r="AL247" s="84">
        <f>IF(S247=4,O247-T247,0)</f>
        <v>0</v>
      </c>
      <c r="AN247" s="84">
        <f>IF(S247=1,O247-T247,0)</f>
        <v>0</v>
      </c>
      <c r="AO247" s="84">
        <f>IF(S247=2,O247-T247,0)</f>
        <v>0</v>
      </c>
      <c r="AP247" s="84">
        <f>IF(S247=3,O247-T247,0)</f>
        <v>0</v>
      </c>
      <c r="AQ247" s="84">
        <f>IF(S247=4,O247-T247,0)</f>
        <v>0</v>
      </c>
    </row>
    <row r="248" spans="2:43" x14ac:dyDescent="0.3">
      <c r="B248" s="103" t="s">
        <v>82</v>
      </c>
      <c r="C248" s="86" t="s">
        <v>42</v>
      </c>
      <c r="D248" s="84" t="s">
        <v>42</v>
      </c>
      <c r="E248" s="85">
        <f t="shared" si="226"/>
        <v>28</v>
      </c>
      <c r="F248" s="85">
        <f t="shared" si="207"/>
        <v>0</v>
      </c>
      <c r="G248" s="104" t="s">
        <v>798</v>
      </c>
      <c r="H248" s="148">
        <v>28</v>
      </c>
      <c r="I248" s="85"/>
      <c r="J248" s="84" t="s">
        <v>63</v>
      </c>
      <c r="K248" s="84" t="s">
        <v>55</v>
      </c>
      <c r="L248" s="146"/>
      <c r="M248" s="96" t="s">
        <v>36</v>
      </c>
      <c r="N248" s="85"/>
      <c r="O248" s="107">
        <v>0</v>
      </c>
      <c r="P248" s="113">
        <f t="shared" si="208"/>
        <v>0</v>
      </c>
      <c r="Q248" s="85">
        <f t="shared" si="237"/>
        <v>0</v>
      </c>
      <c r="R248" s="207"/>
      <c r="S248" s="154"/>
      <c r="T248" s="154">
        <f t="shared" ref="T248:T256" si="238">IF(U248=$AD$2,47,IF(U248=$AD$1,ROUND(((O248+500)*0.039),0),IF(U248=$AD$3,0)))</f>
        <v>0</v>
      </c>
      <c r="U248" s="87" t="str">
        <f t="shared" si="211"/>
        <v>NONE</v>
      </c>
      <c r="V248" s="97"/>
      <c r="W248" s="90"/>
      <c r="X248" s="89">
        <f t="shared" si="212"/>
        <v>0</v>
      </c>
      <c r="Y248" s="154"/>
      <c r="Z248" s="113">
        <f t="shared" si="213"/>
        <v>0</v>
      </c>
      <c r="AA248" s="113">
        <f t="shared" si="214"/>
        <v>130</v>
      </c>
      <c r="AB248" s="113"/>
      <c r="AC248" s="155">
        <f t="shared" si="215"/>
        <v>-130</v>
      </c>
      <c r="AD248" s="113"/>
      <c r="AE248" s="113">
        <f t="shared" si="216"/>
        <v>0</v>
      </c>
      <c r="AF248" s="113">
        <f>IF(AG248&gt;0,AG131:AG248,0)</f>
        <v>0</v>
      </c>
      <c r="AG248" s="113">
        <f t="shared" si="227"/>
        <v>-130</v>
      </c>
      <c r="AI248">
        <f t="shared" si="228"/>
        <v>0</v>
      </c>
      <c r="AJ248">
        <f t="shared" si="229"/>
        <v>0</v>
      </c>
      <c r="AK248">
        <f t="shared" si="230"/>
        <v>0</v>
      </c>
      <c r="AL248">
        <f t="shared" si="231"/>
        <v>0</v>
      </c>
      <c r="AN248">
        <f t="shared" si="232"/>
        <v>0</v>
      </c>
      <c r="AO248">
        <f t="shared" si="233"/>
        <v>0</v>
      </c>
      <c r="AP248">
        <f t="shared" si="234"/>
        <v>0</v>
      </c>
      <c r="AQ248">
        <f t="shared" si="235"/>
        <v>0</v>
      </c>
    </row>
    <row r="249" spans="2:43" s="84" customFormat="1" x14ac:dyDescent="0.3">
      <c r="B249" s="86"/>
      <c r="C249" s="86"/>
      <c r="E249" s="84">
        <f>IF(D249=$B$12,H249,0)</f>
        <v>0</v>
      </c>
      <c r="F249" s="84">
        <f>IF(E249&gt;0,0,1)</f>
        <v>1</v>
      </c>
      <c r="H249" s="148">
        <v>0</v>
      </c>
      <c r="I249" s="85"/>
      <c r="K249" s="84" t="s">
        <v>55</v>
      </c>
      <c r="L249" s="60"/>
      <c r="M249" s="96" t="s">
        <v>36</v>
      </c>
      <c r="O249" s="107">
        <v>0</v>
      </c>
      <c r="P249" s="113">
        <f>ROUND((O249*0.4),0)</f>
        <v>0</v>
      </c>
      <c r="Q249" s="85">
        <f>IF(O249&gt;0,((O249+500)-P249)+T249,0)</f>
        <v>0</v>
      </c>
      <c r="R249" s="207"/>
      <c r="S249" s="89"/>
      <c r="T249" s="89">
        <f>IF(U249=$AD$2,47,IF(U249=$AD$1,ROUND(((O249+500)*0.039),0),IF(U249=$AD$3,0)))</f>
        <v>0</v>
      </c>
      <c r="U249" s="87" t="str">
        <f>IF(V249=1,$AD$2,IF(V249=2,$AD$1,IF(AND(V249&lt;&gt;1,V249&lt;&gt;20)=TRUE,$AD$3)))</f>
        <v>NONE</v>
      </c>
      <c r="V249" s="97"/>
      <c r="W249" s="90"/>
      <c r="X249" s="89">
        <f>Q249+P249</f>
        <v>0</v>
      </c>
      <c r="Y249" s="89"/>
      <c r="Z249" s="58">
        <f>IF(W249=$Z$1,Q249-500,0)</f>
        <v>0</v>
      </c>
      <c r="AA249" s="58">
        <f>IF(H249&gt;0,130,0)</f>
        <v>0</v>
      </c>
      <c r="AB249" s="58"/>
      <c r="AC249" s="98">
        <f>(O249+T249)-AA249</f>
        <v>0</v>
      </c>
      <c r="AD249" s="58"/>
      <c r="AE249" s="58">
        <f>IF(H249&gt;0,30*F249,0)</f>
        <v>0</v>
      </c>
      <c r="AF249" s="58">
        <f>IF(AG249&gt;0,AG132:AG249,0)</f>
        <v>0</v>
      </c>
      <c r="AG249" s="58">
        <f>AC249-AE249</f>
        <v>0</v>
      </c>
      <c r="AI249" s="84">
        <f>IF(S249=1,O249-T249,0)</f>
        <v>0</v>
      </c>
      <c r="AJ249" s="84">
        <f>IF(S249=2,O249-T249,0)</f>
        <v>0</v>
      </c>
      <c r="AK249" s="84">
        <f>IF(S249=3,O249-T249,0)</f>
        <v>0</v>
      </c>
      <c r="AL249" s="84">
        <f>IF(S249=4,O249-T249,0)</f>
        <v>0</v>
      </c>
      <c r="AN249" s="84">
        <f>IF(S249=1,O249-T249,0)</f>
        <v>0</v>
      </c>
      <c r="AO249" s="84">
        <f>IF(S249=2,O249-T249,0)</f>
        <v>0</v>
      </c>
      <c r="AP249" s="84">
        <f>IF(S249=3,O249-T249,0)</f>
        <v>0</v>
      </c>
      <c r="AQ249" s="84">
        <f>IF(S249=4,O249-T249,0)</f>
        <v>0</v>
      </c>
    </row>
    <row r="250" spans="2:43" s="84" customFormat="1" x14ac:dyDescent="0.3">
      <c r="C250"/>
      <c r="E250" s="84">
        <f t="shared" si="226"/>
        <v>0</v>
      </c>
      <c r="F250" s="84">
        <f t="shared" si="207"/>
        <v>1</v>
      </c>
      <c r="H250" s="148"/>
      <c r="I250" s="85"/>
      <c r="K250" s="84" t="s">
        <v>55</v>
      </c>
      <c r="L250" s="60"/>
      <c r="M250" s="96" t="s">
        <v>36</v>
      </c>
      <c r="O250" s="107">
        <v>0</v>
      </c>
      <c r="P250" s="113">
        <v>673</v>
      </c>
      <c r="Q250" s="85">
        <f t="shared" si="237"/>
        <v>0</v>
      </c>
      <c r="R250" s="207"/>
      <c r="S250" s="89"/>
      <c r="T250" s="89">
        <f t="shared" si="238"/>
        <v>0</v>
      </c>
      <c r="U250" s="87" t="str">
        <f t="shared" si="211"/>
        <v>NONE</v>
      </c>
      <c r="V250" s="97"/>
      <c r="W250" s="90"/>
      <c r="X250" s="89">
        <f t="shared" si="212"/>
        <v>673</v>
      </c>
      <c r="Y250" s="89"/>
      <c r="Z250" s="58">
        <f t="shared" si="213"/>
        <v>0</v>
      </c>
      <c r="AA250" s="58">
        <f t="shared" si="214"/>
        <v>0</v>
      </c>
      <c r="AB250" s="58"/>
      <c r="AC250" s="98">
        <f t="shared" si="215"/>
        <v>0</v>
      </c>
      <c r="AD250" s="58"/>
      <c r="AE250" s="58">
        <f t="shared" si="216"/>
        <v>0</v>
      </c>
      <c r="AF250" s="58">
        <f>IF(AG250&gt;0,AG133:AG250,0)</f>
        <v>0</v>
      </c>
      <c r="AG250" s="58">
        <f t="shared" si="227"/>
        <v>0</v>
      </c>
      <c r="AI250" s="84">
        <f t="shared" si="228"/>
        <v>0</v>
      </c>
      <c r="AJ250" s="84">
        <f t="shared" si="229"/>
        <v>0</v>
      </c>
      <c r="AK250" s="84">
        <f t="shared" si="230"/>
        <v>0</v>
      </c>
      <c r="AL250" s="84">
        <f t="shared" si="231"/>
        <v>0</v>
      </c>
      <c r="AN250" s="84">
        <f t="shared" si="232"/>
        <v>0</v>
      </c>
      <c r="AO250" s="84">
        <f t="shared" si="233"/>
        <v>0</v>
      </c>
      <c r="AP250" s="84">
        <f t="shared" si="234"/>
        <v>0</v>
      </c>
      <c r="AQ250" s="84">
        <f t="shared" si="235"/>
        <v>0</v>
      </c>
    </row>
    <row r="251" spans="2:43" ht="15.6" x14ac:dyDescent="0.3">
      <c r="B251" s="210"/>
      <c r="C251" s="84"/>
      <c r="D251" s="84"/>
      <c r="E251" s="85">
        <f t="shared" si="226"/>
        <v>0</v>
      </c>
      <c r="F251" s="85">
        <f t="shared" si="207"/>
        <v>1</v>
      </c>
      <c r="G251" s="85"/>
      <c r="H251" s="148">
        <v>0</v>
      </c>
      <c r="I251" s="85"/>
      <c r="J251" s="84"/>
      <c r="K251" s="84" t="s">
        <v>55</v>
      </c>
      <c r="L251" s="146"/>
      <c r="M251" s="96" t="s">
        <v>36</v>
      </c>
      <c r="N251" s="85"/>
      <c r="O251" s="107">
        <v>0</v>
      </c>
      <c r="P251" s="113">
        <f t="shared" si="208"/>
        <v>0</v>
      </c>
      <c r="Q251" s="85">
        <f t="shared" si="237"/>
        <v>0</v>
      </c>
      <c r="R251" s="207"/>
      <c r="S251" s="154"/>
      <c r="T251" s="154">
        <f t="shared" si="238"/>
        <v>0</v>
      </c>
      <c r="U251" s="87" t="str">
        <f t="shared" si="211"/>
        <v>NONE</v>
      </c>
      <c r="V251" s="97"/>
      <c r="W251" s="146"/>
      <c r="X251" s="89">
        <f t="shared" si="212"/>
        <v>0</v>
      </c>
      <c r="Y251" s="154"/>
      <c r="Z251" s="113">
        <f>IF(W251=$Z$1,Q251-500,0)</f>
        <v>0</v>
      </c>
      <c r="AA251" s="113">
        <f t="shared" si="214"/>
        <v>0</v>
      </c>
      <c r="AB251" s="113"/>
      <c r="AC251" s="155">
        <f t="shared" si="215"/>
        <v>0</v>
      </c>
      <c r="AD251" s="113"/>
      <c r="AE251" s="113">
        <f t="shared" si="216"/>
        <v>0</v>
      </c>
      <c r="AF251" s="113">
        <f>IF(AG251&gt;0,AG129:AG251,0)</f>
        <v>0</v>
      </c>
      <c r="AG251" s="113">
        <f t="shared" si="227"/>
        <v>0</v>
      </c>
      <c r="AI251">
        <f t="shared" si="228"/>
        <v>0</v>
      </c>
      <c r="AJ251">
        <f t="shared" si="229"/>
        <v>0</v>
      </c>
      <c r="AK251">
        <f t="shared" si="230"/>
        <v>0</v>
      </c>
      <c r="AL251">
        <f t="shared" si="231"/>
        <v>0</v>
      </c>
      <c r="AN251">
        <f t="shared" si="232"/>
        <v>0</v>
      </c>
      <c r="AO251">
        <f t="shared" si="233"/>
        <v>0</v>
      </c>
      <c r="AP251">
        <f t="shared" si="234"/>
        <v>0</v>
      </c>
      <c r="AQ251">
        <f t="shared" si="235"/>
        <v>0</v>
      </c>
    </row>
    <row r="252" spans="2:43" x14ac:dyDescent="0.3">
      <c r="B252" s="84" t="s">
        <v>767</v>
      </c>
      <c r="C252" s="84" t="s">
        <v>765</v>
      </c>
      <c r="D252" s="84" t="s">
        <v>61</v>
      </c>
      <c r="E252" s="85">
        <f t="shared" si="226"/>
        <v>0</v>
      </c>
      <c r="F252" s="85">
        <f t="shared" si="207"/>
        <v>1</v>
      </c>
      <c r="G252" s="85" t="s">
        <v>795</v>
      </c>
      <c r="H252" s="148">
        <v>10</v>
      </c>
      <c r="I252" s="85"/>
      <c r="J252" s="84" t="s">
        <v>63</v>
      </c>
      <c r="K252" s="84" t="s">
        <v>55</v>
      </c>
      <c r="L252" s="146"/>
      <c r="M252" s="96" t="s">
        <v>36</v>
      </c>
      <c r="N252" s="85"/>
      <c r="O252" s="107">
        <v>1956</v>
      </c>
      <c r="P252" s="113">
        <v>500</v>
      </c>
      <c r="Q252" s="85">
        <f>IF(O252&gt;0,((O252+500)-P252)+T252,0)</f>
        <v>1956</v>
      </c>
      <c r="R252" s="207" t="s">
        <v>805</v>
      </c>
      <c r="S252" s="154"/>
      <c r="T252" s="154">
        <f t="shared" si="238"/>
        <v>0</v>
      </c>
      <c r="U252" s="87" t="str">
        <f t="shared" si="211"/>
        <v>NONE</v>
      </c>
      <c r="V252" s="97"/>
      <c r="W252" s="90" t="s">
        <v>924</v>
      </c>
      <c r="X252" s="89">
        <f t="shared" si="212"/>
        <v>2456</v>
      </c>
      <c r="Y252" s="154"/>
      <c r="Z252" s="113">
        <f>IF(W252=$Z$1,Q252-500,0)</f>
        <v>0</v>
      </c>
      <c r="AA252" s="113">
        <f t="shared" si="214"/>
        <v>130</v>
      </c>
      <c r="AB252" s="113"/>
      <c r="AC252" s="155">
        <f t="shared" si="215"/>
        <v>1826</v>
      </c>
      <c r="AD252" s="113"/>
      <c r="AE252" s="113">
        <f t="shared" si="216"/>
        <v>30</v>
      </c>
      <c r="AF252" s="113">
        <f>IF(AG252&gt;0,AG131:AG252,0)</f>
        <v>1796</v>
      </c>
      <c r="AG252" s="113">
        <f t="shared" si="227"/>
        <v>1796</v>
      </c>
      <c r="AI252">
        <f t="shared" si="228"/>
        <v>0</v>
      </c>
      <c r="AJ252">
        <f t="shared" si="229"/>
        <v>0</v>
      </c>
      <c r="AK252">
        <f t="shared" si="230"/>
        <v>0</v>
      </c>
      <c r="AL252">
        <f t="shared" si="231"/>
        <v>0</v>
      </c>
      <c r="AN252">
        <f t="shared" si="232"/>
        <v>0</v>
      </c>
      <c r="AO252">
        <f t="shared" si="233"/>
        <v>0</v>
      </c>
      <c r="AP252">
        <f t="shared" si="234"/>
        <v>0</v>
      </c>
      <c r="AQ252">
        <f t="shared" si="235"/>
        <v>0</v>
      </c>
    </row>
    <row r="253" spans="2:43" x14ac:dyDescent="0.3">
      <c r="B253" s="86" t="s">
        <v>828</v>
      </c>
      <c r="C253" t="s">
        <v>768</v>
      </c>
      <c r="D253" s="84" t="s">
        <v>616</v>
      </c>
      <c r="E253" s="85">
        <f t="shared" si="226"/>
        <v>0</v>
      </c>
      <c r="F253" s="85">
        <f t="shared" si="207"/>
        <v>1</v>
      </c>
      <c r="G253" s="84" t="s">
        <v>827</v>
      </c>
      <c r="H253" s="148">
        <v>0</v>
      </c>
      <c r="I253" s="85"/>
      <c r="J253" s="84" t="s">
        <v>98</v>
      </c>
      <c r="K253" s="84" t="s">
        <v>55</v>
      </c>
      <c r="L253" s="146"/>
      <c r="M253" s="96" t="s">
        <v>36</v>
      </c>
      <c r="N253" s="85"/>
      <c r="O253" s="107">
        <v>1793</v>
      </c>
      <c r="P253" s="113">
        <f>ROUND((O253*0.4),0)</f>
        <v>717</v>
      </c>
      <c r="Q253" s="85">
        <f>IF(O253&gt;0,((O253+500)-P253)+T253,0)</f>
        <v>1665</v>
      </c>
      <c r="R253" s="207" t="s">
        <v>769</v>
      </c>
      <c r="S253" s="154"/>
      <c r="T253" s="154">
        <f>IF(U253=$AD$2,47,IF(U253=$AD$1,ROUND(((O253+500)*0.039),0),IF(U253=$AD$3,0)))</f>
        <v>89</v>
      </c>
      <c r="U253" s="87" t="str">
        <f t="shared" si="211"/>
        <v>PAYPAL</v>
      </c>
      <c r="V253" s="97">
        <v>2</v>
      </c>
      <c r="W253" s="90" t="s">
        <v>25</v>
      </c>
      <c r="X253" s="89">
        <f t="shared" si="212"/>
        <v>2382</v>
      </c>
      <c r="Y253" s="154"/>
      <c r="Z253" s="113">
        <f>IF(W253=$Z$1,Q253-500,0)</f>
        <v>0</v>
      </c>
      <c r="AA253" s="113">
        <f t="shared" si="214"/>
        <v>0</v>
      </c>
      <c r="AB253" s="113"/>
      <c r="AC253" s="155">
        <f>(O253+T253)-AA253</f>
        <v>1882</v>
      </c>
      <c r="AD253" s="113"/>
      <c r="AE253" s="113">
        <f t="shared" si="216"/>
        <v>0</v>
      </c>
      <c r="AF253" s="113">
        <f>IF(AG253&gt;0,AG131:AG262,0)</f>
        <v>1882</v>
      </c>
      <c r="AG253" s="113">
        <f t="shared" si="227"/>
        <v>1882</v>
      </c>
      <c r="AI253">
        <f>IF(S253=1,O253-T253,0)</f>
        <v>0</v>
      </c>
      <c r="AJ253">
        <f>IF(S253=2,O253-T253,0)</f>
        <v>0</v>
      </c>
      <c r="AK253">
        <f>IF(S253=3,O253-T253,0)</f>
        <v>0</v>
      </c>
      <c r="AL253">
        <f>IF(S253=4,O253-T253,0)</f>
        <v>0</v>
      </c>
      <c r="AN253">
        <f>IF(S253=1,O253-T253,0)</f>
        <v>0</v>
      </c>
      <c r="AO253">
        <f>IF(S253=2,O253-T253,0)</f>
        <v>0</v>
      </c>
      <c r="AP253">
        <f>IF(S253=3,O253-T253,0)</f>
        <v>0</v>
      </c>
      <c r="AQ253">
        <f>IF(S253=4,O253-T253,0)</f>
        <v>0</v>
      </c>
    </row>
    <row r="254" spans="2:43" ht="13.2" customHeight="1" x14ac:dyDescent="0.3">
      <c r="B254" s="86" t="s">
        <v>887</v>
      </c>
      <c r="C254" s="84" t="s">
        <v>889</v>
      </c>
      <c r="D254" s="84" t="s">
        <v>885</v>
      </c>
      <c r="E254" s="85">
        <f t="shared" si="226"/>
        <v>0</v>
      </c>
      <c r="F254" s="85">
        <f t="shared" si="207"/>
        <v>1</v>
      </c>
      <c r="G254" s="148" t="s">
        <v>886</v>
      </c>
      <c r="H254" s="148">
        <v>5</v>
      </c>
      <c r="I254" s="85"/>
      <c r="J254" s="84" t="s">
        <v>74</v>
      </c>
      <c r="K254" s="84" t="s">
        <v>55</v>
      </c>
      <c r="L254" s="146"/>
      <c r="M254" s="96" t="s">
        <v>36</v>
      </c>
      <c r="N254" s="85"/>
      <c r="O254" s="107">
        <v>1267</v>
      </c>
      <c r="P254" s="113">
        <f t="shared" si="208"/>
        <v>507</v>
      </c>
      <c r="Q254" s="85">
        <f>IF(O254&gt;0,((O254+500)-P254)+T254,0)</f>
        <v>1260</v>
      </c>
      <c r="R254" s="207" t="s">
        <v>888</v>
      </c>
      <c r="S254" s="154"/>
      <c r="T254" s="154">
        <f t="shared" si="238"/>
        <v>0</v>
      </c>
      <c r="U254" s="87" t="str">
        <f t="shared" si="211"/>
        <v>NONE</v>
      </c>
      <c r="V254" s="97"/>
      <c r="W254" s="146" t="s">
        <v>162</v>
      </c>
      <c r="X254" s="89">
        <f t="shared" si="212"/>
        <v>1767</v>
      </c>
      <c r="Y254" s="154"/>
      <c r="Z254" s="113">
        <f>IF(W254=$Z$1,Q254-500,0)</f>
        <v>0</v>
      </c>
      <c r="AA254" s="113">
        <f t="shared" si="214"/>
        <v>130</v>
      </c>
      <c r="AB254" s="113"/>
      <c r="AC254" s="155">
        <f t="shared" si="215"/>
        <v>1137</v>
      </c>
      <c r="AD254" s="113"/>
      <c r="AE254" s="113">
        <f t="shared" si="216"/>
        <v>30</v>
      </c>
      <c r="AF254" s="113">
        <f>IF(AG254&gt;0,AG134:AG254,0)</f>
        <v>1107</v>
      </c>
      <c r="AG254" s="113">
        <f t="shared" si="227"/>
        <v>1107</v>
      </c>
      <c r="AI254">
        <f t="shared" si="228"/>
        <v>0</v>
      </c>
      <c r="AJ254">
        <f t="shared" si="229"/>
        <v>0</v>
      </c>
      <c r="AK254">
        <f t="shared" si="230"/>
        <v>0</v>
      </c>
      <c r="AL254">
        <f t="shared" si="231"/>
        <v>0</v>
      </c>
      <c r="AN254">
        <f t="shared" si="232"/>
        <v>0</v>
      </c>
      <c r="AO254">
        <f t="shared" si="233"/>
        <v>0</v>
      </c>
      <c r="AP254">
        <f t="shared" si="234"/>
        <v>0</v>
      </c>
      <c r="AQ254">
        <f t="shared" si="235"/>
        <v>0</v>
      </c>
    </row>
    <row r="255" spans="2:43" s="84" customFormat="1" x14ac:dyDescent="0.3">
      <c r="E255" s="84">
        <f>IF(D253=$B$12,H255,0)</f>
        <v>0</v>
      </c>
      <c r="F255" s="84">
        <f t="shared" si="207"/>
        <v>1</v>
      </c>
      <c r="H255" s="148">
        <v>6</v>
      </c>
      <c r="I255" s="85"/>
      <c r="K255" s="84" t="s">
        <v>55</v>
      </c>
      <c r="L255" s="109"/>
      <c r="M255" s="96" t="s">
        <v>36</v>
      </c>
      <c r="O255" s="107">
        <v>0</v>
      </c>
      <c r="P255" s="113">
        <f>ROUND((O255*0.4),0)</f>
        <v>0</v>
      </c>
      <c r="Q255" s="85">
        <f>IF(O255&gt;0,((O255+500)-P255)+T255,0)</f>
        <v>0</v>
      </c>
      <c r="S255" s="89"/>
      <c r="T255" s="89">
        <f>IF(U255=$AD$2,47,IF(U255=$AD$1,ROUND(((O255+500)*0.039),0),IF(U255=$AD$3,0)))</f>
        <v>0</v>
      </c>
      <c r="U255" s="87" t="str">
        <f t="shared" si="211"/>
        <v>NONE</v>
      </c>
      <c r="V255" s="97"/>
      <c r="X255" s="89">
        <f t="shared" si="212"/>
        <v>0</v>
      </c>
      <c r="Y255" s="89"/>
      <c r="Z255" s="58">
        <f>IF(W253=$Z$1,Q255-500,0)</f>
        <v>0</v>
      </c>
      <c r="AA255" s="58">
        <f t="shared" si="214"/>
        <v>130</v>
      </c>
      <c r="AB255" s="58"/>
      <c r="AC255" s="98">
        <f>(O255+T255)-AA255</f>
        <v>-130</v>
      </c>
      <c r="AD255" s="58"/>
      <c r="AE255" s="58">
        <f t="shared" si="216"/>
        <v>30</v>
      </c>
      <c r="AF255" s="58">
        <f>IF(AG255&gt;0,AG134:AG255,0)</f>
        <v>0</v>
      </c>
      <c r="AG255" s="58">
        <f t="shared" si="227"/>
        <v>-160</v>
      </c>
      <c r="AI255" s="84">
        <f>IF(S255=1,O255-T255,0)</f>
        <v>0</v>
      </c>
      <c r="AJ255" s="84">
        <f>IF(S255=2,O255-T255,0)</f>
        <v>0</v>
      </c>
      <c r="AK255" s="84">
        <f>IF(S255=3,O255-T255,0)</f>
        <v>0</v>
      </c>
      <c r="AL255" s="84">
        <f>IF(S255=4,O255-T255,0)</f>
        <v>0</v>
      </c>
      <c r="AN255" s="84">
        <f>IF(S255=1,O255-T255,0)</f>
        <v>0</v>
      </c>
      <c r="AO255" s="84">
        <f>IF(S255=2,O255-T255,0)</f>
        <v>0</v>
      </c>
      <c r="AP255" s="84">
        <f>IF(S255=3,O255-T255,0)</f>
        <v>0</v>
      </c>
      <c r="AQ255" s="84">
        <f>IF(S255=4,O255-T255,0)</f>
        <v>0</v>
      </c>
    </row>
    <row r="256" spans="2:43" x14ac:dyDescent="0.3">
      <c r="B256" s="86"/>
      <c r="C256" s="86"/>
      <c r="D256" s="84"/>
      <c r="E256" s="85">
        <f t="shared" si="226"/>
        <v>0</v>
      </c>
      <c r="F256" s="85">
        <f t="shared" si="207"/>
        <v>1</v>
      </c>
      <c r="G256" s="84"/>
      <c r="H256" s="148">
        <v>0</v>
      </c>
      <c r="I256" s="85"/>
      <c r="J256" s="84"/>
      <c r="K256" s="84" t="s">
        <v>55</v>
      </c>
      <c r="L256" s="146"/>
      <c r="M256" s="96" t="s">
        <v>36</v>
      </c>
      <c r="N256" s="85"/>
      <c r="O256" s="107">
        <v>0</v>
      </c>
      <c r="P256" s="113">
        <f t="shared" si="208"/>
        <v>0</v>
      </c>
      <c r="Q256" s="85">
        <f t="shared" ref="Q256:Q271" si="239">IF(O256&gt;0,((O256+500)-P256)+T256,0)</f>
        <v>0</v>
      </c>
      <c r="R256" s="207"/>
      <c r="S256" s="154"/>
      <c r="T256" s="154">
        <f t="shared" si="238"/>
        <v>0</v>
      </c>
      <c r="U256" s="87" t="str">
        <f t="shared" si="211"/>
        <v>NONE</v>
      </c>
      <c r="V256" s="97"/>
      <c r="W256" s="146"/>
      <c r="X256" s="89">
        <f t="shared" si="212"/>
        <v>0</v>
      </c>
      <c r="Y256" s="154"/>
      <c r="Z256" s="113">
        <f>IF(W256=$Z$1,Q256-500,0)</f>
        <v>0</v>
      </c>
      <c r="AA256" s="113">
        <f t="shared" si="214"/>
        <v>0</v>
      </c>
      <c r="AB256" s="113"/>
      <c r="AC256" s="155">
        <f t="shared" si="215"/>
        <v>0</v>
      </c>
      <c r="AD256" s="113"/>
      <c r="AE256" s="113">
        <f t="shared" si="216"/>
        <v>0</v>
      </c>
      <c r="AF256" s="113">
        <f>IF(AG256&gt;0,AG135:AG256,0)</f>
        <v>0</v>
      </c>
      <c r="AG256" s="113">
        <f t="shared" si="227"/>
        <v>0</v>
      </c>
      <c r="AI256">
        <f t="shared" si="228"/>
        <v>0</v>
      </c>
      <c r="AJ256">
        <f t="shared" si="229"/>
        <v>0</v>
      </c>
      <c r="AK256">
        <f t="shared" si="230"/>
        <v>0</v>
      </c>
      <c r="AL256">
        <f t="shared" si="231"/>
        <v>0</v>
      </c>
      <c r="AN256">
        <f t="shared" si="232"/>
        <v>0</v>
      </c>
      <c r="AO256">
        <f t="shared" si="233"/>
        <v>0</v>
      </c>
      <c r="AP256">
        <f t="shared" si="234"/>
        <v>0</v>
      </c>
      <c r="AQ256">
        <f t="shared" si="235"/>
        <v>0</v>
      </c>
    </row>
    <row r="257" spans="2:43" x14ac:dyDescent="0.3">
      <c r="B257" s="103" t="s">
        <v>82</v>
      </c>
      <c r="C257" s="86" t="s">
        <v>42</v>
      </c>
      <c r="D257" s="84" t="s">
        <v>42</v>
      </c>
      <c r="E257" s="85">
        <f>IF(D257=$B$12,H257,0)</f>
        <v>4</v>
      </c>
      <c r="F257" s="85">
        <f>IF(E257&gt;0,0,1)</f>
        <v>0</v>
      </c>
      <c r="G257" s="104" t="s">
        <v>789</v>
      </c>
      <c r="H257" s="148">
        <v>4</v>
      </c>
      <c r="I257" s="85"/>
      <c r="J257" s="84" t="s">
        <v>63</v>
      </c>
      <c r="K257" s="84" t="s">
        <v>55</v>
      </c>
      <c r="L257" s="146"/>
      <c r="M257" s="96" t="s">
        <v>36</v>
      </c>
      <c r="N257" s="85"/>
      <c r="O257" s="107">
        <v>0</v>
      </c>
      <c r="P257" s="113">
        <f t="shared" si="208"/>
        <v>0</v>
      </c>
      <c r="Q257" s="85">
        <f t="shared" si="239"/>
        <v>0</v>
      </c>
      <c r="R257" s="207"/>
      <c r="S257" s="154"/>
      <c r="T257" s="154">
        <f>IF(U257=$AD$2,47,IF(U257=$AD$1,ROUND(((O257+500)*0.039),0),IF(U257=$AD$3,0)))</f>
        <v>0</v>
      </c>
      <c r="U257" s="87" t="str">
        <f>IF(V257=1,$AD$2,IF(V257=2,$AD$1,IF(AND(V257&lt;&gt;1,V257&lt;&gt;20)=TRUE,$AD$3)))</f>
        <v>NONE</v>
      </c>
      <c r="V257" s="97"/>
      <c r="W257" s="90"/>
      <c r="X257" s="89">
        <f t="shared" si="212"/>
        <v>0</v>
      </c>
      <c r="Y257" s="154"/>
      <c r="Z257" s="113">
        <f>IF(W257=$Z$1,Q257-500,0)</f>
        <v>0</v>
      </c>
      <c r="AA257" s="113">
        <f>IF(H257&gt;0,130,0)</f>
        <v>130</v>
      </c>
      <c r="AB257" s="113"/>
      <c r="AC257" s="155">
        <f>(O257+T257)-AA257</f>
        <v>-130</v>
      </c>
      <c r="AD257" s="113"/>
      <c r="AE257" s="113">
        <f>IF(H257&gt;0,30*F257,0)</f>
        <v>0</v>
      </c>
      <c r="AF257" s="113">
        <f>IF(AG257&gt;0,AG134:AG262,0)</f>
        <v>0</v>
      </c>
      <c r="AG257" s="113">
        <f>AC257-AE257</f>
        <v>-130</v>
      </c>
      <c r="AI257">
        <f>IF(S257=1,O257-T257,0)</f>
        <v>0</v>
      </c>
      <c r="AJ257">
        <f>IF(S257=2,O257-T257,0)</f>
        <v>0</v>
      </c>
      <c r="AK257">
        <f>IF(S257=3,O257-T257,0)</f>
        <v>0</v>
      </c>
      <c r="AL257">
        <f>IF(S257=4,O257-T257,0)</f>
        <v>0</v>
      </c>
      <c r="AN257">
        <f>IF(S257=1,O257-T257,0)</f>
        <v>0</v>
      </c>
      <c r="AO257">
        <f>IF(S257=2,O257-T257,0)</f>
        <v>0</v>
      </c>
      <c r="AP257">
        <f>IF(S257=3,O257-T257,0)</f>
        <v>0</v>
      </c>
      <c r="AQ257">
        <f>IF(S257=4,O257-T257,0)</f>
        <v>0</v>
      </c>
    </row>
    <row r="258" spans="2:43" x14ac:dyDescent="0.3">
      <c r="B258" s="86"/>
      <c r="C258" s="86"/>
      <c r="D258" s="84"/>
      <c r="E258" s="85">
        <f>IF(D258=$B$12,H258,0)</f>
        <v>0</v>
      </c>
      <c r="F258" s="85">
        <f>IF(E258&gt;0,0,1)</f>
        <v>1</v>
      </c>
      <c r="G258" s="84"/>
      <c r="H258" s="148">
        <v>0</v>
      </c>
      <c r="I258" s="85"/>
      <c r="J258" s="84"/>
      <c r="K258" s="84" t="s">
        <v>55</v>
      </c>
      <c r="L258" s="146"/>
      <c r="M258" s="96" t="s">
        <v>36</v>
      </c>
      <c r="N258" s="85"/>
      <c r="O258" s="107">
        <v>0</v>
      </c>
      <c r="P258" s="113">
        <f t="shared" si="208"/>
        <v>0</v>
      </c>
      <c r="Q258" s="85">
        <f t="shared" si="239"/>
        <v>0</v>
      </c>
      <c r="R258" s="207"/>
      <c r="S258" s="154"/>
      <c r="T258" s="154">
        <f>IF(U258=$AD$2,47,IF(U258=$AD$1,ROUND(((O258+500)*0.039),0),IF(U258=$AD$3,0)))</f>
        <v>0</v>
      </c>
      <c r="U258" s="87" t="str">
        <f>IF(V258=1,$AD$2,IF(V258=2,$AD$1,IF(AND(V258&lt;&gt;1,V258&lt;&gt;20)=TRUE,$AD$3)))</f>
        <v>NONE</v>
      </c>
      <c r="V258" s="97"/>
      <c r="W258" s="90"/>
      <c r="X258" s="89">
        <f t="shared" si="212"/>
        <v>0</v>
      </c>
      <c r="Y258" s="154"/>
      <c r="Z258" s="113">
        <f>IF(W258=$Z$1,Q258-500,0)</f>
        <v>0</v>
      </c>
      <c r="AA258" s="113">
        <f>IF(H258&gt;0,130,0)</f>
        <v>0</v>
      </c>
      <c r="AB258" s="113"/>
      <c r="AC258" s="155">
        <f>(O258+T258)-AA258</f>
        <v>0</v>
      </c>
      <c r="AD258" s="113"/>
      <c r="AE258" s="113">
        <f>IF(H258&gt;0,30*F258,0)</f>
        <v>0</v>
      </c>
      <c r="AF258" s="113">
        <f>IF(AG258&gt;0,AG136:AG258,0)</f>
        <v>0</v>
      </c>
      <c r="AG258" s="113">
        <f>AC258-AE258</f>
        <v>0</v>
      </c>
      <c r="AI258">
        <f>IF(S258=1,O258-T258,0)</f>
        <v>0</v>
      </c>
      <c r="AJ258">
        <f>IF(S258=2,O258-T258,0)</f>
        <v>0</v>
      </c>
      <c r="AK258">
        <f>IF(S258=3,O258-T258,0)</f>
        <v>0</v>
      </c>
      <c r="AL258">
        <f>IF(S258=4,O258-T258,0)</f>
        <v>0</v>
      </c>
      <c r="AN258">
        <f>IF(S258=1,O258-T258,0)</f>
        <v>0</v>
      </c>
      <c r="AO258">
        <f>IF(S258=2,O258-T258,0)</f>
        <v>0</v>
      </c>
      <c r="AP258">
        <f>IF(S258=3,O258-T258,0)</f>
        <v>0</v>
      </c>
      <c r="AQ258">
        <f>IF(S258=4,O258-T258,0)</f>
        <v>0</v>
      </c>
    </row>
    <row r="259" spans="2:43" ht="15.6" x14ac:dyDescent="0.3">
      <c r="B259" s="223" t="s">
        <v>845</v>
      </c>
      <c r="C259" t="s">
        <v>847</v>
      </c>
      <c r="D259" s="84" t="s">
        <v>370</v>
      </c>
      <c r="E259" s="85">
        <f>IF(D259=$B$12,H259,0)</f>
        <v>0</v>
      </c>
      <c r="F259" s="85">
        <f>IF(E259&gt;0,0,1)</f>
        <v>1</v>
      </c>
      <c r="G259" s="148" t="s">
        <v>846</v>
      </c>
      <c r="H259" s="148">
        <v>14</v>
      </c>
      <c r="I259" s="85"/>
      <c r="J259" s="84" t="s">
        <v>848</v>
      </c>
      <c r="K259" s="84" t="s">
        <v>55</v>
      </c>
      <c r="L259" s="146"/>
      <c r="M259" s="96" t="s">
        <v>36</v>
      </c>
      <c r="N259" s="85"/>
      <c r="O259" s="107">
        <v>3039</v>
      </c>
      <c r="P259" s="113">
        <f t="shared" si="208"/>
        <v>1216</v>
      </c>
      <c r="Q259" s="85">
        <f t="shared" si="239"/>
        <v>2323</v>
      </c>
      <c r="R259" s="207" t="s">
        <v>849</v>
      </c>
      <c r="S259" s="154"/>
      <c r="T259" s="154">
        <f>IF(U259=$AD$2,47,IF(U259=$AD$1,ROUND(((O259+500)*0.039),0),IF(U259=$AD$3,0)))</f>
        <v>0</v>
      </c>
      <c r="U259" s="87" t="str">
        <f>IF(V259=1,$AD$2,IF(V259=2,$AD$1,IF(AND(V259&lt;&gt;1,V259&lt;&gt;20)=TRUE,$AD$3)))</f>
        <v>NONE</v>
      </c>
      <c r="V259" s="97"/>
      <c r="W259" s="90" t="s">
        <v>25</v>
      </c>
      <c r="X259" s="89">
        <f t="shared" si="212"/>
        <v>3539</v>
      </c>
      <c r="Y259" s="154"/>
      <c r="Z259" s="113">
        <f>IF(W259=$Z$1,Q259-500,0)</f>
        <v>0</v>
      </c>
      <c r="AA259" s="113">
        <f>IF(H259&gt;0,130,0)</f>
        <v>130</v>
      </c>
      <c r="AB259" s="113"/>
      <c r="AC259" s="155">
        <f>(O259+T259)-AA259</f>
        <v>2909</v>
      </c>
      <c r="AD259" s="113"/>
      <c r="AE259" s="113">
        <f>IF(H259&gt;0,30*F259,0)</f>
        <v>30</v>
      </c>
      <c r="AF259" s="113">
        <f>IF(AG259&gt;0,AG134:AG259,0)</f>
        <v>2879</v>
      </c>
      <c r="AG259" s="113">
        <f>AC259-AE259</f>
        <v>2879</v>
      </c>
      <c r="AI259">
        <f>IF(S259=1,O259-T259,0)</f>
        <v>0</v>
      </c>
      <c r="AJ259">
        <f>IF(S259=2,O259-T259,0)</f>
        <v>0</v>
      </c>
      <c r="AK259">
        <f>IF(S259=3,O259-T259,0)</f>
        <v>0</v>
      </c>
      <c r="AL259">
        <f>IF(S259=4,O259-T259,0)</f>
        <v>0</v>
      </c>
      <c r="AN259">
        <f>IF(S259=1,O259-T259,0)</f>
        <v>0</v>
      </c>
      <c r="AO259">
        <f>IF(S259=2,O259-T259,0)</f>
        <v>0</v>
      </c>
      <c r="AP259">
        <f>IF(S259=3,O259-T259,0)</f>
        <v>0</v>
      </c>
      <c r="AQ259">
        <f>IF(S259=4,O259-T259,0)</f>
        <v>0</v>
      </c>
    </row>
    <row r="260" spans="2:43" x14ac:dyDescent="0.3">
      <c r="B260" s="86"/>
      <c r="C260" s="86"/>
      <c r="D260" s="84"/>
      <c r="E260" s="85">
        <f>IF(D260=$B$12,H260,0)</f>
        <v>0</v>
      </c>
      <c r="F260" s="85">
        <f>IF(E260&gt;0,0,1)</f>
        <v>1</v>
      </c>
      <c r="H260" s="148">
        <v>0</v>
      </c>
      <c r="I260" s="85"/>
      <c r="J260" s="84"/>
      <c r="K260" s="84" t="s">
        <v>55</v>
      </c>
      <c r="L260" s="146"/>
      <c r="M260" s="96" t="s">
        <v>36</v>
      </c>
      <c r="N260" s="85"/>
      <c r="O260" s="107">
        <v>0</v>
      </c>
      <c r="P260" s="113">
        <f t="shared" si="208"/>
        <v>0</v>
      </c>
      <c r="Q260" s="85">
        <f t="shared" si="239"/>
        <v>0</v>
      </c>
      <c r="R260" s="207"/>
      <c r="S260" s="154"/>
      <c r="T260" s="154">
        <f>IF(U260=$AD$2,47,IF(U260=$AD$1,ROUND(((O260+500)*0.039),0),IF(U260=$AD$3,0)))</f>
        <v>0</v>
      </c>
      <c r="U260" s="87" t="str">
        <f>IF(V260=1,$AD$2,IF(V260=2,$AD$1,IF(AND(V260&lt;&gt;1,V260&lt;&gt;20)=TRUE,$AD$3)))</f>
        <v>NONE</v>
      </c>
      <c r="V260" s="97"/>
      <c r="W260" s="146"/>
      <c r="X260" s="89">
        <f t="shared" si="212"/>
        <v>0</v>
      </c>
      <c r="Y260" s="154"/>
      <c r="Z260" s="113">
        <f>IF(W260=$Z$1,Q260-500,0)</f>
        <v>0</v>
      </c>
      <c r="AA260" s="113">
        <f>IF(H260&gt;0,130,0)</f>
        <v>0</v>
      </c>
      <c r="AB260" s="113"/>
      <c r="AC260" s="155">
        <f>(O260+T260)-AA260</f>
        <v>0</v>
      </c>
      <c r="AD260" s="113"/>
      <c r="AE260" s="113">
        <f>IF(H260&gt;0,30*F260,0)</f>
        <v>0</v>
      </c>
      <c r="AF260" s="113">
        <f>IF(AG260&gt;0,AG136:AG267,0)</f>
        <v>0</v>
      </c>
      <c r="AG260" s="113">
        <f>AC260-AE260</f>
        <v>0</v>
      </c>
      <c r="AI260">
        <f>IF(S260=1,O260-T260,0)</f>
        <v>0</v>
      </c>
      <c r="AJ260">
        <f>IF(S260=2,O260-T260,0)</f>
        <v>0</v>
      </c>
      <c r="AK260">
        <f>IF(S260=3,O260-T260,0)</f>
        <v>0</v>
      </c>
      <c r="AL260">
        <f>IF(S260=4,O260-T260,0)</f>
        <v>0</v>
      </c>
      <c r="AN260">
        <f>IF(S260=1,O260-T260,0)</f>
        <v>0</v>
      </c>
      <c r="AO260">
        <f>IF(S260=2,O260-T260,0)</f>
        <v>0</v>
      </c>
      <c r="AP260">
        <f>IF(S260=3,O260-T260,0)</f>
        <v>0</v>
      </c>
      <c r="AQ260">
        <f>IF(S260=4,O260-T260,0)</f>
        <v>0</v>
      </c>
    </row>
    <row r="261" spans="2:43" x14ac:dyDescent="0.3">
      <c r="B261" s="86"/>
      <c r="C261" s="86"/>
      <c r="D261" s="84"/>
      <c r="E261" s="85">
        <f t="shared" ref="E261:E267" si="240">IF(D261=$B$12,H261,0)</f>
        <v>0</v>
      </c>
      <c r="F261" s="85">
        <f t="shared" ref="F261:F267" si="241">IF(E261&gt;0,0,1)</f>
        <v>1</v>
      </c>
      <c r="G261" s="84"/>
      <c r="H261" s="148">
        <v>0</v>
      </c>
      <c r="I261" s="85"/>
      <c r="J261" s="84"/>
      <c r="K261" s="84" t="s">
        <v>55</v>
      </c>
      <c r="L261" s="146"/>
      <c r="M261" s="96" t="s">
        <v>36</v>
      </c>
      <c r="N261" s="85"/>
      <c r="O261" s="107">
        <v>0</v>
      </c>
      <c r="P261" s="113">
        <f t="shared" si="208"/>
        <v>0</v>
      </c>
      <c r="Q261" s="85">
        <f t="shared" si="239"/>
        <v>0</v>
      </c>
      <c r="R261" s="207"/>
      <c r="S261" s="154"/>
      <c r="T261" s="154">
        <f t="shared" ref="T261:T267" si="242">IF(U261=$AD$2,47,IF(U261=$AD$1,ROUND(((O261+500)*0.039),0),IF(U261=$AD$3,0)))</f>
        <v>0</v>
      </c>
      <c r="U261" s="87" t="str">
        <f t="shared" ref="U261:U267" si="243">IF(V261=1,$AD$2,IF(V261=2,$AD$1,IF(AND(V261&lt;&gt;1,V261&lt;&gt;20)=TRUE,$AD$3)))</f>
        <v>NONE</v>
      </c>
      <c r="V261" s="97"/>
      <c r="W261" s="146"/>
      <c r="X261" s="89">
        <f t="shared" si="212"/>
        <v>0</v>
      </c>
      <c r="Y261" s="154"/>
      <c r="Z261" s="113">
        <f t="shared" ref="Z261:Z267" si="244">IF(W261=$Z$1,Q261-500,0)</f>
        <v>0</v>
      </c>
      <c r="AA261" s="113">
        <f t="shared" ref="AA261:AA267" si="245">IF(H261&gt;0,130,0)</f>
        <v>0</v>
      </c>
      <c r="AB261" s="113"/>
      <c r="AC261" s="155">
        <f t="shared" ref="AC261:AC267" si="246">(O261+T261)-AA261</f>
        <v>0</v>
      </c>
      <c r="AD261" s="113"/>
      <c r="AE261" s="113">
        <f t="shared" ref="AE261:AE267" si="247">IF(H261&gt;0,30*F261,0)</f>
        <v>0</v>
      </c>
      <c r="AF261" s="113">
        <f>IF(AG261&gt;0,AG137:AG261,0)</f>
        <v>0</v>
      </c>
      <c r="AG261" s="113">
        <f t="shared" ref="AG261:AG267" si="248">AC261-AE261</f>
        <v>0</v>
      </c>
      <c r="AI261">
        <f t="shared" ref="AI261:AI267" si="249">IF(S261=1,O261-T261,0)</f>
        <v>0</v>
      </c>
      <c r="AJ261">
        <f t="shared" ref="AJ261:AJ267" si="250">IF(S261=2,O261-T261,0)</f>
        <v>0</v>
      </c>
      <c r="AK261">
        <f t="shared" ref="AK261:AK267" si="251">IF(S261=3,O261-T261,0)</f>
        <v>0</v>
      </c>
      <c r="AL261">
        <f t="shared" ref="AL261:AL267" si="252">IF(S261=4,O261-T261,0)</f>
        <v>0</v>
      </c>
      <c r="AN261">
        <f t="shared" ref="AN261:AN267" si="253">IF(S261=1,O261-T261,0)</f>
        <v>0</v>
      </c>
      <c r="AO261">
        <f t="shared" ref="AO261:AO267" si="254">IF(S261=2,O261-T261,0)</f>
        <v>0</v>
      </c>
      <c r="AP261">
        <f t="shared" ref="AP261:AP267" si="255">IF(S261=3,O261-T261,0)</f>
        <v>0</v>
      </c>
      <c r="AQ261">
        <f t="shared" ref="AQ261:AQ267" si="256">IF(S261=4,O261-T261,0)</f>
        <v>0</v>
      </c>
    </row>
    <row r="262" spans="2:43" x14ac:dyDescent="0.3">
      <c r="B262" s="103" t="s">
        <v>82</v>
      </c>
      <c r="C262" s="84"/>
      <c r="D262" s="84" t="s">
        <v>42</v>
      </c>
      <c r="E262" s="85">
        <f t="shared" si="240"/>
        <v>4</v>
      </c>
      <c r="F262" s="85">
        <f t="shared" si="241"/>
        <v>0</v>
      </c>
      <c r="G262" s="85" t="s">
        <v>860</v>
      </c>
      <c r="H262" s="148">
        <v>4</v>
      </c>
      <c r="I262" s="85"/>
      <c r="J262" s="84" t="s">
        <v>771</v>
      </c>
      <c r="K262" s="84" t="s">
        <v>55</v>
      </c>
      <c r="L262" s="146"/>
      <c r="M262" s="96" t="s">
        <v>36</v>
      </c>
      <c r="N262" s="85"/>
      <c r="O262" s="107">
        <v>0</v>
      </c>
      <c r="P262" s="113">
        <f t="shared" si="208"/>
        <v>0</v>
      </c>
      <c r="Q262" s="85">
        <f t="shared" si="239"/>
        <v>0</v>
      </c>
      <c r="R262" s="207"/>
      <c r="S262" s="154"/>
      <c r="T262" s="154">
        <f t="shared" si="242"/>
        <v>0</v>
      </c>
      <c r="U262" s="87" t="str">
        <f t="shared" si="243"/>
        <v>NONE</v>
      </c>
      <c r="V262" s="97"/>
      <c r="W262" s="90"/>
      <c r="X262" s="89">
        <f t="shared" si="212"/>
        <v>0</v>
      </c>
      <c r="Y262" s="154"/>
      <c r="Z262" s="113">
        <f t="shared" si="244"/>
        <v>0</v>
      </c>
      <c r="AA262" s="113">
        <f t="shared" si="245"/>
        <v>130</v>
      </c>
      <c r="AB262" s="113"/>
      <c r="AC262" s="155">
        <f t="shared" si="246"/>
        <v>-130</v>
      </c>
      <c r="AD262" s="113"/>
      <c r="AE262" s="113">
        <f t="shared" si="247"/>
        <v>0</v>
      </c>
      <c r="AF262" s="113">
        <f>IF(AG262&gt;0,AG138:AG262,0)</f>
        <v>0</v>
      </c>
      <c r="AG262" s="113">
        <f t="shared" si="248"/>
        <v>-130</v>
      </c>
      <c r="AI262">
        <f t="shared" si="249"/>
        <v>0</v>
      </c>
      <c r="AJ262">
        <f t="shared" si="250"/>
        <v>0</v>
      </c>
      <c r="AK262">
        <f t="shared" si="251"/>
        <v>0</v>
      </c>
      <c r="AL262">
        <f t="shared" si="252"/>
        <v>0</v>
      </c>
      <c r="AN262">
        <f t="shared" si="253"/>
        <v>0</v>
      </c>
      <c r="AO262">
        <f t="shared" si="254"/>
        <v>0</v>
      </c>
      <c r="AP262">
        <f t="shared" si="255"/>
        <v>0</v>
      </c>
      <c r="AQ262">
        <f t="shared" si="256"/>
        <v>0</v>
      </c>
    </row>
    <row r="263" spans="2:43" ht="21" x14ac:dyDescent="0.4">
      <c r="B263" s="199" t="s">
        <v>952</v>
      </c>
      <c r="C263" t="s">
        <v>871</v>
      </c>
      <c r="D263" s="84" t="s">
        <v>61</v>
      </c>
      <c r="E263" s="84">
        <f t="shared" si="240"/>
        <v>0</v>
      </c>
      <c r="F263" s="84">
        <f t="shared" si="241"/>
        <v>1</v>
      </c>
      <c r="G263" s="148" t="s">
        <v>872</v>
      </c>
      <c r="H263" s="148">
        <v>11</v>
      </c>
      <c r="I263" s="85"/>
      <c r="J263" s="84" t="s">
        <v>873</v>
      </c>
      <c r="K263" s="84" t="s">
        <v>55</v>
      </c>
      <c r="L263" s="90"/>
      <c r="M263" s="96" t="s">
        <v>36</v>
      </c>
      <c r="N263" s="84"/>
      <c r="O263" s="107">
        <v>3200</v>
      </c>
      <c r="P263" s="113">
        <f t="shared" si="208"/>
        <v>1280</v>
      </c>
      <c r="Q263" s="85">
        <f t="shared" si="239"/>
        <v>2420</v>
      </c>
      <c r="R263" s="207" t="s">
        <v>874</v>
      </c>
      <c r="S263" s="89"/>
      <c r="T263" s="89">
        <f t="shared" si="242"/>
        <v>0</v>
      </c>
      <c r="U263" s="87" t="str">
        <f t="shared" si="243"/>
        <v>NONE</v>
      </c>
      <c r="V263" s="97"/>
      <c r="W263" s="109" t="s">
        <v>162</v>
      </c>
      <c r="X263" s="89">
        <f t="shared" si="212"/>
        <v>3700</v>
      </c>
      <c r="Y263" s="89"/>
      <c r="Z263" s="58">
        <f t="shared" si="244"/>
        <v>0</v>
      </c>
      <c r="AA263" s="58">
        <f t="shared" si="245"/>
        <v>130</v>
      </c>
      <c r="AB263" s="58"/>
      <c r="AC263" s="98">
        <f t="shared" si="246"/>
        <v>3070</v>
      </c>
      <c r="AD263" s="58"/>
      <c r="AE263" s="58">
        <f t="shared" si="247"/>
        <v>30</v>
      </c>
      <c r="AF263" s="58">
        <f>IF(AG263&gt;0,AG144:AG263,0)</f>
        <v>3040</v>
      </c>
      <c r="AG263" s="58">
        <f t="shared" si="248"/>
        <v>3040</v>
      </c>
      <c r="AI263">
        <f t="shared" si="249"/>
        <v>0</v>
      </c>
      <c r="AJ263">
        <f t="shared" si="250"/>
        <v>0</v>
      </c>
      <c r="AK263">
        <f t="shared" si="251"/>
        <v>0</v>
      </c>
      <c r="AL263">
        <f t="shared" si="252"/>
        <v>0</v>
      </c>
      <c r="AN263">
        <f t="shared" si="253"/>
        <v>0</v>
      </c>
      <c r="AO263">
        <f t="shared" si="254"/>
        <v>0</v>
      </c>
      <c r="AP263">
        <f t="shared" si="255"/>
        <v>0</v>
      </c>
      <c r="AQ263">
        <f t="shared" si="256"/>
        <v>0</v>
      </c>
    </row>
    <row r="264" spans="2:43" x14ac:dyDescent="0.3">
      <c r="B264" s="180" t="s">
        <v>862</v>
      </c>
      <c r="C264" t="s">
        <v>863</v>
      </c>
      <c r="D264" s="84" t="s">
        <v>61</v>
      </c>
      <c r="E264" s="84">
        <f>IF(D264=$B$12,H264,0)</f>
        <v>0</v>
      </c>
      <c r="F264" s="84">
        <f>IF(E264&gt;0,0,1)</f>
        <v>1</v>
      </c>
      <c r="G264" s="84" t="s">
        <v>861</v>
      </c>
      <c r="H264" s="148">
        <v>7</v>
      </c>
      <c r="I264" s="85"/>
      <c r="J264" s="84" t="s">
        <v>864</v>
      </c>
      <c r="K264" s="84" t="s">
        <v>55</v>
      </c>
      <c r="L264" s="90"/>
      <c r="M264" s="96" t="s">
        <v>36</v>
      </c>
      <c r="N264" s="84"/>
      <c r="O264" s="107">
        <v>1840</v>
      </c>
      <c r="P264" s="113">
        <f>ROUND((O264*0.4),0)</f>
        <v>736</v>
      </c>
      <c r="Q264" s="85">
        <f>IF(O264&gt;0,((O264+500)-P264)+T264,0)</f>
        <v>1604</v>
      </c>
      <c r="R264" s="207" t="s">
        <v>865</v>
      </c>
      <c r="S264" s="89"/>
      <c r="T264" s="89">
        <f>IF(U264=$AD$2,47,IF(U264=$AD$1,ROUND(((O264+500)*0.039),0),IF(U264=$AD$3,0)))</f>
        <v>0</v>
      </c>
      <c r="U264" s="87" t="str">
        <f>IF(V264=1,$AD$2,IF(V264=2,$AD$1,IF(AND(V264&lt;&gt;1,V264&lt;&gt;20)=TRUE,$AD$3)))</f>
        <v>NONE</v>
      </c>
      <c r="V264" s="97"/>
      <c r="W264" s="109" t="s">
        <v>25</v>
      </c>
      <c r="X264" s="89">
        <f>Q264+P264</f>
        <v>2340</v>
      </c>
      <c r="Y264" s="89"/>
      <c r="Z264" s="58">
        <f>IF(W264=$Z$1,Q264-500,0)</f>
        <v>0</v>
      </c>
      <c r="AA264" s="58">
        <f>IF(H264&gt;0,130,0)</f>
        <v>130</v>
      </c>
      <c r="AB264" s="58"/>
      <c r="AC264" s="98">
        <f>(O264+T264)-AA264</f>
        <v>1710</v>
      </c>
      <c r="AD264" s="58"/>
      <c r="AE264" s="58">
        <f>IF(H264&gt;0,30*F264,0)</f>
        <v>30</v>
      </c>
      <c r="AF264" s="58">
        <f>IF(AG264&gt;0,AG144:AG264,0)</f>
        <v>1680</v>
      </c>
      <c r="AG264" s="58">
        <f>AC264-AE264</f>
        <v>1680</v>
      </c>
      <c r="AI264">
        <f>IF(S264=1,O264-T264,0)</f>
        <v>0</v>
      </c>
      <c r="AJ264">
        <f>IF(S264=2,O264-T264,0)</f>
        <v>0</v>
      </c>
      <c r="AK264">
        <f>IF(S264=3,O264-T264,0)</f>
        <v>0</v>
      </c>
      <c r="AL264">
        <f>IF(S264=4,O264-T264,0)</f>
        <v>0</v>
      </c>
      <c r="AN264">
        <f>IF(S264=1,O264-T264,0)</f>
        <v>0</v>
      </c>
      <c r="AO264">
        <f>IF(S264=2,O264-T264,0)</f>
        <v>0</v>
      </c>
      <c r="AP264">
        <f>IF(S264=3,O264-T264,0)</f>
        <v>0</v>
      </c>
      <c r="AQ264">
        <f>IF(S264=4,O264-T264,0)</f>
        <v>0</v>
      </c>
    </row>
    <row r="265" spans="2:43" x14ac:dyDescent="0.3">
      <c r="B265" s="86" t="s">
        <v>947</v>
      </c>
      <c r="C265" t="s">
        <v>878</v>
      </c>
      <c r="D265" s="84"/>
      <c r="E265" s="84">
        <f>IF(D265=$B$12,H265,0)</f>
        <v>0</v>
      </c>
      <c r="F265" s="84">
        <f>IF(E265&gt;0,0,1)</f>
        <v>1</v>
      </c>
      <c r="G265" s="84" t="s">
        <v>875</v>
      </c>
      <c r="H265" s="148">
        <v>7</v>
      </c>
      <c r="I265" s="85"/>
      <c r="J265" s="84" t="s">
        <v>876</v>
      </c>
      <c r="K265" s="84" t="s">
        <v>55</v>
      </c>
      <c r="L265" s="90"/>
      <c r="M265" s="96" t="s">
        <v>36</v>
      </c>
      <c r="N265" s="84"/>
      <c r="O265" s="107">
        <v>1786</v>
      </c>
      <c r="P265" s="113">
        <f>ROUND((O265*0.4),0)</f>
        <v>714</v>
      </c>
      <c r="Q265" s="85">
        <f>IF(O265&gt;0,((O265+500)-P265)+T265,0)</f>
        <v>1572</v>
      </c>
      <c r="R265" s="207" t="s">
        <v>877</v>
      </c>
      <c r="S265" s="89"/>
      <c r="T265" s="89">
        <f>IF(U265=$AD$2,47,IF(U265=$AD$1,ROUND(((O265+500)*0.039),0),IF(U265=$AD$3,0)))</f>
        <v>0</v>
      </c>
      <c r="U265" s="87" t="str">
        <f>IF(V265=1,$AD$2,IF(V265=2,$AD$1,IF(AND(V265&lt;&gt;1,V265&lt;&gt;20)=TRUE,$AD$3)))</f>
        <v>NONE</v>
      </c>
      <c r="V265" s="97"/>
      <c r="W265" s="90" t="s">
        <v>953</v>
      </c>
      <c r="X265" s="89">
        <f>Q265+P265</f>
        <v>2286</v>
      </c>
      <c r="Y265" s="89"/>
      <c r="Z265" s="58">
        <f>IF(W265=$Z$1,Q265-500,0)</f>
        <v>0</v>
      </c>
      <c r="AA265" s="58">
        <f>IF(H265&gt;0,130,0)</f>
        <v>130</v>
      </c>
      <c r="AB265" s="58"/>
      <c r="AC265" s="98">
        <f>(O265+T265)-AA265</f>
        <v>1656</v>
      </c>
      <c r="AD265" s="58"/>
      <c r="AE265" s="58">
        <f>IF(H265&gt;0,30*F265,0)</f>
        <v>30</v>
      </c>
      <c r="AF265" s="58">
        <f>IF(AG265&gt;0,AG144:AG265,0)</f>
        <v>1626</v>
      </c>
      <c r="AG265" s="58">
        <f>AC265-AE265</f>
        <v>1626</v>
      </c>
      <c r="AI265">
        <f>IF(S265=1,O265-T265,0)</f>
        <v>0</v>
      </c>
      <c r="AJ265">
        <f>IF(S265=2,O265-T265,0)</f>
        <v>0</v>
      </c>
      <c r="AK265">
        <f>IF(S265=3,O265-T265,0)</f>
        <v>0</v>
      </c>
      <c r="AL265">
        <f>IF(S265=4,O265-T265,0)</f>
        <v>0</v>
      </c>
      <c r="AN265">
        <f>IF(S265=1,O265-T265,0)</f>
        <v>0</v>
      </c>
      <c r="AO265">
        <f>IF(S265=2,O265-T265,0)</f>
        <v>0</v>
      </c>
      <c r="AP265">
        <f>IF(S265=3,O265-T265,0)</f>
        <v>0</v>
      </c>
      <c r="AQ265">
        <f>IF(S265=4,O265-T265,0)</f>
        <v>0</v>
      </c>
    </row>
    <row r="266" spans="2:43" x14ac:dyDescent="0.3">
      <c r="B266" s="84" t="s">
        <v>955</v>
      </c>
      <c r="C266" t="s">
        <v>929</v>
      </c>
      <c r="D266" s="84" t="s">
        <v>930</v>
      </c>
      <c r="E266" s="84">
        <f>IF(D266=$B$12,H266,0)</f>
        <v>0</v>
      </c>
      <c r="F266" s="84">
        <f>IF(E266&gt;0,0,1)</f>
        <v>1</v>
      </c>
      <c r="G266" s="148" t="s">
        <v>931</v>
      </c>
      <c r="H266" s="148">
        <v>7</v>
      </c>
      <c r="I266" s="85"/>
      <c r="J266" s="84" t="s">
        <v>777</v>
      </c>
      <c r="K266" s="84" t="s">
        <v>55</v>
      </c>
      <c r="L266" s="90"/>
      <c r="M266" s="96" t="s">
        <v>36</v>
      </c>
      <c r="N266" s="84"/>
      <c r="O266" s="107">
        <v>1642</v>
      </c>
      <c r="P266" s="113">
        <f>ROUND((O266*0.4),0)</f>
        <v>657</v>
      </c>
      <c r="Q266" s="85">
        <f>IF(O266&gt;0,((O266+500)-P266)+T266,0)</f>
        <v>1485</v>
      </c>
      <c r="R266" s="207" t="s">
        <v>932</v>
      </c>
      <c r="S266" s="89"/>
      <c r="T266" s="89">
        <f>IF(U266=$AD$2,47,IF(U266=$AD$1,ROUND(((O266+500)*0.039),0),IF(U266=$AD$3,0)))</f>
        <v>0</v>
      </c>
      <c r="U266" s="87" t="str">
        <f>IF(V266=1,$AD$2,IF(V266=2,$AD$1,IF(AND(V266&lt;&gt;1,V266&lt;&gt;20)=TRUE,$AD$3)))</f>
        <v>NONE</v>
      </c>
      <c r="V266" s="97"/>
      <c r="W266" s="90" t="s">
        <v>959</v>
      </c>
      <c r="X266" s="89">
        <f>Q266+P266</f>
        <v>2142</v>
      </c>
      <c r="Y266" s="89"/>
      <c r="Z266" s="58">
        <f>IF(W266=$Z$1,Q266-500,0)</f>
        <v>0</v>
      </c>
      <c r="AA266" s="58">
        <f>IF(H266&gt;0,130,0)</f>
        <v>130</v>
      </c>
      <c r="AB266" s="58"/>
      <c r="AC266" s="98">
        <f>(O266+T266)-AA266</f>
        <v>1512</v>
      </c>
      <c r="AD266" s="58"/>
      <c r="AE266" s="58">
        <f>IF(H266&gt;0,30*F266,0)</f>
        <v>30</v>
      </c>
      <c r="AF266" s="58">
        <f>IF(AG266&gt;0,AG142:AG266,0)</f>
        <v>1482</v>
      </c>
      <c r="AG266" s="58">
        <f>AC266-AE266</f>
        <v>1482</v>
      </c>
      <c r="AI266">
        <f>IF(S266=1,O266-T266,0)</f>
        <v>0</v>
      </c>
      <c r="AJ266">
        <f>IF(S266=2,O266-T266,0)</f>
        <v>0</v>
      </c>
      <c r="AK266">
        <f>IF(S266=3,O266-T266,0)</f>
        <v>0</v>
      </c>
      <c r="AL266">
        <f>IF(S266=4,O266-T266,0)</f>
        <v>0</v>
      </c>
      <c r="AN266">
        <f>IF(S266=1,O266-T266,0)</f>
        <v>0</v>
      </c>
      <c r="AO266">
        <f>IF(S266=2,O266-T266,0)</f>
        <v>0</v>
      </c>
      <c r="AP266">
        <f>IF(S266=3,O266-T266,0)</f>
        <v>0</v>
      </c>
      <c r="AQ266">
        <f>IF(S266=4,O266-T266,0)</f>
        <v>0</v>
      </c>
    </row>
    <row r="267" spans="2:43" x14ac:dyDescent="0.3">
      <c r="B267" s="86" t="s">
        <v>914</v>
      </c>
      <c r="C267" t="s">
        <v>701</v>
      </c>
      <c r="D267" s="84" t="s">
        <v>915</v>
      </c>
      <c r="E267" s="84">
        <f t="shared" si="240"/>
        <v>0</v>
      </c>
      <c r="F267" s="84">
        <f t="shared" si="241"/>
        <v>1</v>
      </c>
      <c r="G267" s="84" t="s">
        <v>916</v>
      </c>
      <c r="H267" s="148">
        <v>8</v>
      </c>
      <c r="I267" s="85"/>
      <c r="J267" s="84" t="s">
        <v>777</v>
      </c>
      <c r="K267" s="84" t="s">
        <v>55</v>
      </c>
      <c r="L267" s="90"/>
      <c r="M267" s="96" t="s">
        <v>36</v>
      </c>
      <c r="N267" s="84"/>
      <c r="O267" s="107">
        <v>1690</v>
      </c>
      <c r="P267" s="113">
        <f t="shared" si="208"/>
        <v>676</v>
      </c>
      <c r="Q267" s="85">
        <f t="shared" si="239"/>
        <v>1514</v>
      </c>
      <c r="R267" s="207" t="s">
        <v>917</v>
      </c>
      <c r="S267" s="89"/>
      <c r="T267" s="89">
        <f t="shared" si="242"/>
        <v>0</v>
      </c>
      <c r="U267" s="87" t="str">
        <f t="shared" si="243"/>
        <v>NONE</v>
      </c>
      <c r="V267" s="97"/>
      <c r="W267" s="194" t="s">
        <v>958</v>
      </c>
      <c r="X267" s="89">
        <f t="shared" si="212"/>
        <v>2190</v>
      </c>
      <c r="Y267" s="89"/>
      <c r="Z267" s="58">
        <f t="shared" si="244"/>
        <v>0</v>
      </c>
      <c r="AA267" s="58">
        <f t="shared" si="245"/>
        <v>130</v>
      </c>
      <c r="AB267" s="58"/>
      <c r="AC267" s="98">
        <f t="shared" si="246"/>
        <v>1560</v>
      </c>
      <c r="AD267" s="58"/>
      <c r="AE267" s="58">
        <f t="shared" si="247"/>
        <v>30</v>
      </c>
      <c r="AF267" s="58">
        <f>IF(AG267&gt;0,AG145:AG267,0)</f>
        <v>1530</v>
      </c>
      <c r="AG267" s="58">
        <f t="shared" si="248"/>
        <v>1530</v>
      </c>
      <c r="AI267">
        <f t="shared" si="249"/>
        <v>0</v>
      </c>
      <c r="AJ267">
        <f t="shared" si="250"/>
        <v>0</v>
      </c>
      <c r="AK267">
        <f t="shared" si="251"/>
        <v>0</v>
      </c>
      <c r="AL267">
        <f t="shared" si="252"/>
        <v>0</v>
      </c>
      <c r="AN267">
        <f t="shared" si="253"/>
        <v>0</v>
      </c>
      <c r="AO267">
        <f t="shared" si="254"/>
        <v>0</v>
      </c>
      <c r="AP267">
        <f t="shared" si="255"/>
        <v>0</v>
      </c>
      <c r="AQ267">
        <f t="shared" si="256"/>
        <v>0</v>
      </c>
    </row>
    <row r="268" spans="2:43" x14ac:dyDescent="0.3">
      <c r="B268" s="103" t="s">
        <v>82</v>
      </c>
      <c r="C268" s="86" t="s">
        <v>42</v>
      </c>
      <c r="D268" s="84" t="s">
        <v>42</v>
      </c>
      <c r="E268" s="84">
        <f>IF(D268=$B$12,H268,0)</f>
        <v>4</v>
      </c>
      <c r="F268" s="84">
        <f>IF(E268&gt;0,0,1)</f>
        <v>0</v>
      </c>
      <c r="G268" s="105" t="s">
        <v>790</v>
      </c>
      <c r="H268" s="148">
        <v>4</v>
      </c>
      <c r="I268" s="85"/>
      <c r="J268" s="84"/>
      <c r="K268" s="84" t="s">
        <v>55</v>
      </c>
      <c r="L268" s="90"/>
      <c r="M268" s="96" t="s">
        <v>36</v>
      </c>
      <c r="N268" s="84"/>
      <c r="O268" s="107">
        <v>0</v>
      </c>
      <c r="P268" s="113">
        <f t="shared" si="208"/>
        <v>0</v>
      </c>
      <c r="Q268" s="85">
        <f t="shared" si="239"/>
        <v>0</v>
      </c>
      <c r="R268" s="207"/>
      <c r="S268" s="89"/>
      <c r="T268" s="89">
        <f>IF(U268=$AD$2,47,IF(U268=$AD$1,ROUND(((O268+500)*0.039),0),IF(U268=$AD$3,0)))</f>
        <v>0</v>
      </c>
      <c r="U268" s="87" t="str">
        <f>IF(V268=1,$AD$2,IF(V268=2,$AD$1,IF(AND(V268&lt;&gt;1,V268&lt;&gt;20)=TRUE,$AD$3)))</f>
        <v>NONE</v>
      </c>
      <c r="V268" s="97"/>
      <c r="W268" s="90"/>
      <c r="X268" s="89">
        <f t="shared" si="212"/>
        <v>0</v>
      </c>
      <c r="Y268" s="89"/>
      <c r="Z268" s="58">
        <f>IF(W268=$Z$1,Q268-500,0)</f>
        <v>0</v>
      </c>
      <c r="AA268" s="58">
        <f>IF(H268&gt;0,130,0)</f>
        <v>130</v>
      </c>
      <c r="AB268" s="58"/>
      <c r="AC268" s="98">
        <f>(O268+T268)-AA268</f>
        <v>-130</v>
      </c>
      <c r="AD268" s="58"/>
      <c r="AE268" s="58">
        <f>IF(H268&gt;0,30*F268,0)</f>
        <v>0</v>
      </c>
      <c r="AF268" s="58">
        <f>IF(AG268&gt;0,AG144:AG268,0)</f>
        <v>0</v>
      </c>
      <c r="AG268" s="58">
        <f>AC268-AE268</f>
        <v>-130</v>
      </c>
      <c r="AI268">
        <f>IF(S268=1,O268-T268,0)</f>
        <v>0</v>
      </c>
      <c r="AJ268">
        <f>IF(S268=2,O268-T268,0)</f>
        <v>0</v>
      </c>
      <c r="AK268">
        <f>IF(S268=3,O268-T268,0)</f>
        <v>0</v>
      </c>
      <c r="AL268">
        <f>IF(S268=4,O268-T268,0)</f>
        <v>0</v>
      </c>
      <c r="AN268">
        <f>IF(S268=1,O268-T268,0)</f>
        <v>0</v>
      </c>
      <c r="AO268">
        <f>IF(S268=2,O268-T268,0)</f>
        <v>0</v>
      </c>
      <c r="AP268">
        <f>IF(S268=3,O268-T268,0)</f>
        <v>0</v>
      </c>
      <c r="AQ268">
        <f>IF(S268=4,O268-T268,0)</f>
        <v>0</v>
      </c>
    </row>
    <row r="269" spans="2:43" x14ac:dyDescent="0.3">
      <c r="B269" s="225" t="s">
        <v>904</v>
      </c>
      <c r="C269" s="86" t="s">
        <v>839</v>
      </c>
      <c r="D269" s="84" t="s">
        <v>370</v>
      </c>
      <c r="E269" s="84">
        <v>0</v>
      </c>
      <c r="F269" s="84">
        <v>1</v>
      </c>
      <c r="G269" s="148" t="s">
        <v>960</v>
      </c>
      <c r="H269" s="148">
        <v>15</v>
      </c>
      <c r="I269" s="85"/>
      <c r="J269" s="84" t="s">
        <v>526</v>
      </c>
      <c r="K269" s="84" t="s">
        <v>55</v>
      </c>
      <c r="L269" s="90"/>
      <c r="M269" s="96" t="s">
        <v>36</v>
      </c>
      <c r="N269" s="84"/>
      <c r="O269" s="107">
        <v>3600</v>
      </c>
      <c r="P269" s="113">
        <f t="shared" si="208"/>
        <v>1440</v>
      </c>
      <c r="Q269" s="85">
        <f t="shared" si="239"/>
        <v>2660</v>
      </c>
      <c r="R269" s="207" t="s">
        <v>905</v>
      </c>
      <c r="S269" s="89"/>
      <c r="T269" s="89">
        <f>IF(U269=$AD$2,47,IF(U269=$AD$1,ROUND(((O269+500)*0.039),0),IF(U269=$AD$3,0)))</f>
        <v>0</v>
      </c>
      <c r="U269" s="87" t="str">
        <f>IF(V269=1,$AD$2,IF(V269=2,$AD$1,IF(AND(V269&lt;&gt;1,V269&lt;&gt;20)=TRUE,$AD$3)))</f>
        <v>NONE</v>
      </c>
      <c r="V269" s="97"/>
      <c r="W269" s="90" t="s">
        <v>162</v>
      </c>
      <c r="X269" s="89">
        <f t="shared" si="212"/>
        <v>4100</v>
      </c>
      <c r="Y269" s="89"/>
      <c r="Z269" s="58">
        <f>IF(W269=$Z$1,Q269-500,0)</f>
        <v>0</v>
      </c>
      <c r="AA269" s="58">
        <f>IF(H269&gt;0,130,0)</f>
        <v>130</v>
      </c>
      <c r="AB269" s="58"/>
      <c r="AC269" s="98">
        <f>(O269+T269)-AA269</f>
        <v>3470</v>
      </c>
      <c r="AD269" s="58"/>
      <c r="AE269" s="58">
        <f>IF(H269&gt;0,30*F269,0)</f>
        <v>30</v>
      </c>
      <c r="AF269" s="58">
        <f>IF(AG269&gt;0,AG144:AG269,0)</f>
        <v>3440</v>
      </c>
      <c r="AG269" s="58">
        <f>AC269-AE269</f>
        <v>3440</v>
      </c>
      <c r="AI269">
        <f>IF(S269=1,O269-T269,0)</f>
        <v>0</v>
      </c>
      <c r="AJ269">
        <f>IF(S269=2,O269-T269,0)</f>
        <v>0</v>
      </c>
      <c r="AK269">
        <f>IF(S269=3,O269-T269,0)</f>
        <v>0</v>
      </c>
      <c r="AL269">
        <f>IF(S269=4,O269-T269,0)</f>
        <v>0</v>
      </c>
      <c r="AN269">
        <f>IF(S269=1,O269-T269,0)</f>
        <v>0</v>
      </c>
      <c r="AO269">
        <f>IF(S269=2,O269-T269,0)</f>
        <v>0</v>
      </c>
      <c r="AP269">
        <f>IF(S269=3,O269-T269,0)</f>
        <v>0</v>
      </c>
      <c r="AQ269">
        <f>IF(S269=4,O269-T269,0)</f>
        <v>0</v>
      </c>
    </row>
    <row r="270" spans="2:43" x14ac:dyDescent="0.3">
      <c r="B270" s="86" t="s">
        <v>964</v>
      </c>
      <c r="C270" t="s">
        <v>939</v>
      </c>
      <c r="D270" s="84" t="s">
        <v>370</v>
      </c>
      <c r="E270" s="84">
        <f>IF(D270=$B$12,H270,0)</f>
        <v>0</v>
      </c>
      <c r="F270" s="84">
        <f>IF(E270&gt;0,0,1)</f>
        <v>1</v>
      </c>
      <c r="G270" s="148" t="s">
        <v>940</v>
      </c>
      <c r="H270" s="148">
        <v>7</v>
      </c>
      <c r="I270" s="85"/>
      <c r="J270" s="84" t="s">
        <v>434</v>
      </c>
      <c r="K270" s="84" t="s">
        <v>55</v>
      </c>
      <c r="L270" s="90"/>
      <c r="M270" s="96" t="s">
        <v>36</v>
      </c>
      <c r="N270" s="84"/>
      <c r="O270" s="107">
        <v>1792.94</v>
      </c>
      <c r="P270" s="113">
        <v>951.86</v>
      </c>
      <c r="Q270" s="85">
        <f t="shared" si="239"/>
        <v>1341.08</v>
      </c>
      <c r="R270" s="207" t="s">
        <v>941</v>
      </c>
      <c r="S270" s="89"/>
      <c r="T270" s="89">
        <f>IF(U270=$AD$2,47,IF(U270=$AD$1,ROUND(((O270+500)*0.039),0),IF(U270=$AD$3,0)))</f>
        <v>0</v>
      </c>
      <c r="U270" s="87" t="str">
        <f>IF(V270=1,$AD$2,IF(V270=2,$AD$1,IF(AND(V270&lt;&gt;1,V270&lt;&gt;20)=TRUE,$AD$3)))</f>
        <v>NONE</v>
      </c>
      <c r="V270" s="97"/>
      <c r="W270" s="90" t="s">
        <v>162</v>
      </c>
      <c r="X270" s="226">
        <f t="shared" si="212"/>
        <v>2292.94</v>
      </c>
      <c r="Y270" s="89"/>
      <c r="Z270" s="58">
        <f>IF(W270=$Z$1,Q270-500,0)</f>
        <v>0</v>
      </c>
      <c r="AA270" s="58">
        <f>IF(H270&gt;0,130,0)</f>
        <v>130</v>
      </c>
      <c r="AB270" s="58"/>
      <c r="AC270" s="98">
        <f>(O270+T270)-AA270</f>
        <v>1662.94</v>
      </c>
      <c r="AD270" s="58"/>
      <c r="AE270" s="58">
        <f>IF(H270&gt;0,30*F270,0)</f>
        <v>30</v>
      </c>
      <c r="AF270" s="58">
        <f>IF(AG270&gt;0,AG145:AG270,0)</f>
        <v>1632.94</v>
      </c>
      <c r="AG270" s="58">
        <f>AC270-AE270</f>
        <v>1632.94</v>
      </c>
      <c r="AI270">
        <f>IF(S270=1,O270-T270,0)</f>
        <v>0</v>
      </c>
      <c r="AJ270">
        <f>IF(S270=2,O270-T270,0)</f>
        <v>0</v>
      </c>
      <c r="AK270">
        <f>IF(S270=3,O270-T270,0)</f>
        <v>0</v>
      </c>
      <c r="AL270">
        <f>IF(S270=4,O270-T270,0)</f>
        <v>0</v>
      </c>
      <c r="AN270">
        <f>IF(S270=1,O270-T270,0)</f>
        <v>0</v>
      </c>
      <c r="AO270">
        <f>IF(S270=2,O270-T270,0)</f>
        <v>0</v>
      </c>
      <c r="AP270">
        <f>IF(S270=3,O270-T270,0)</f>
        <v>0</v>
      </c>
      <c r="AQ270">
        <f>IF(S270=4,O270-T270,0)</f>
        <v>0</v>
      </c>
    </row>
    <row r="271" spans="2:43" x14ac:dyDescent="0.3">
      <c r="B271" s="103" t="s">
        <v>82</v>
      </c>
      <c r="C271" s="86" t="s">
        <v>42</v>
      </c>
      <c r="D271" s="84" t="s">
        <v>42</v>
      </c>
      <c r="E271" s="84">
        <f>IF(D271=$B$12,H271,0)</f>
        <v>8</v>
      </c>
      <c r="F271" s="84">
        <f>IF(E271&gt;0,0,1)</f>
        <v>0</v>
      </c>
      <c r="G271" s="108" t="s">
        <v>934</v>
      </c>
      <c r="H271" s="148">
        <v>8</v>
      </c>
      <c r="I271" s="85"/>
      <c r="J271" s="84" t="s">
        <v>771</v>
      </c>
      <c r="K271" s="84" t="s">
        <v>55</v>
      </c>
      <c r="L271" s="90"/>
      <c r="M271" s="96" t="s">
        <v>36</v>
      </c>
      <c r="N271" s="84"/>
      <c r="O271" s="107">
        <v>0</v>
      </c>
      <c r="P271" s="113">
        <f t="shared" si="208"/>
        <v>0</v>
      </c>
      <c r="Q271" s="85">
        <f t="shared" si="239"/>
        <v>0</v>
      </c>
      <c r="R271" s="207"/>
      <c r="S271" s="89"/>
      <c r="T271" s="89">
        <f>IF(U271=$AD$2,47,IF(U271=$AD$1,ROUND(((O271+500)*0.039),0),IF(U271=$AD$3,0)))</f>
        <v>0</v>
      </c>
      <c r="U271" s="87" t="str">
        <f>IF(V271=1,$AD$2,IF(V271=2,$AD$1,IF(AND(V271&lt;&gt;1,V271&lt;&gt;20)=TRUE,$AD$3)))</f>
        <v>NONE</v>
      </c>
      <c r="V271" s="97"/>
      <c r="W271" s="90"/>
      <c r="X271" s="89">
        <f t="shared" si="212"/>
        <v>0</v>
      </c>
      <c r="Y271" s="89"/>
      <c r="Z271" s="58">
        <f>IF(W271=$Z$1,Q271-500,0)</f>
        <v>0</v>
      </c>
      <c r="AA271" s="58">
        <f>IF(H271&gt;0,130,0)</f>
        <v>130</v>
      </c>
      <c r="AB271" s="58"/>
      <c r="AC271" s="98">
        <f>(O271+T271)-AA271</f>
        <v>-130</v>
      </c>
      <c r="AD271" s="58"/>
      <c r="AE271" s="58">
        <f>IF(H271&gt;0,30*F271,0)</f>
        <v>0</v>
      </c>
      <c r="AF271" s="58">
        <f>IF(AG271&gt;0,AG146:AG271,0)</f>
        <v>0</v>
      </c>
      <c r="AG271" s="58">
        <f>AC271-AE271</f>
        <v>-130</v>
      </c>
      <c r="AI271">
        <f>IF(S271=1,O271-T271,0)</f>
        <v>0</v>
      </c>
      <c r="AJ271">
        <f>IF(S271=2,O271-T271,0)</f>
        <v>0</v>
      </c>
      <c r="AK271">
        <f>IF(S271=3,O271-T271,0)</f>
        <v>0</v>
      </c>
      <c r="AL271">
        <f>IF(S271=4,O271-T271,0)</f>
        <v>0</v>
      </c>
      <c r="AN271">
        <f>IF(S271=1,O271-T271,0)</f>
        <v>0</v>
      </c>
      <c r="AO271">
        <f>IF(S271=2,O271-T271,0)</f>
        <v>0</v>
      </c>
      <c r="AP271">
        <f>IF(S271=3,O271-T271,0)</f>
        <v>0</v>
      </c>
      <c r="AQ271">
        <f>IF(S271=4,O271-T271,0)</f>
        <v>0</v>
      </c>
    </row>
    <row r="272" spans="2:43" x14ac:dyDescent="0.3">
      <c r="B272" s="84"/>
      <c r="D272" s="84"/>
      <c r="E272" s="84">
        <f>IF(D272=$B$12,H272,0)</f>
        <v>0</v>
      </c>
      <c r="F272" s="84">
        <f>IF(E272&gt;0,0,1)</f>
        <v>1</v>
      </c>
      <c r="G272" s="84"/>
      <c r="H272" s="85"/>
      <c r="I272" s="85"/>
      <c r="J272" s="84"/>
      <c r="K272" s="84"/>
      <c r="L272" s="90"/>
      <c r="M272" s="96"/>
      <c r="N272" s="84"/>
      <c r="O272" s="107">
        <v>0</v>
      </c>
      <c r="P272" s="113">
        <f>ROUND((O272*0.4),0)</f>
        <v>0</v>
      </c>
      <c r="Q272" s="85">
        <f>IF(O272&gt;0,((O272+500)-P272)+T272,0)</f>
        <v>0</v>
      </c>
      <c r="R272" s="207"/>
      <c r="S272" s="89"/>
      <c r="T272" s="89">
        <f>IF(U272=$AD$2,47,IF(U272=$AD$1,ROUND(((O272+500)*0.039),0),IF(U272=$AD$3,0)))</f>
        <v>0</v>
      </c>
      <c r="U272" s="87" t="str">
        <f>IF(V272=1,$AD$2,IF(V272=2,$AD$1,IF(AND(V272&lt;&gt;1,V272&lt;&gt;20)=TRUE,$AD$3)))</f>
        <v>NONE</v>
      </c>
      <c r="V272" s="97"/>
      <c r="W272" s="90"/>
      <c r="X272" s="89">
        <f>Q272+P272</f>
        <v>0</v>
      </c>
      <c r="Y272" s="89"/>
      <c r="Z272" s="58">
        <f>IF(W272=$Z$1,Q272-500,0)</f>
        <v>0</v>
      </c>
      <c r="AA272" s="58">
        <f>IF(H272&gt;0,130,0)</f>
        <v>0</v>
      </c>
      <c r="AB272" s="58"/>
      <c r="AC272" s="98">
        <f>(O272+T272)-AA272</f>
        <v>0</v>
      </c>
      <c r="AD272" s="58"/>
      <c r="AE272" s="58">
        <f>IF(H272&gt;0,30*F272,0)</f>
        <v>0</v>
      </c>
      <c r="AF272" s="58">
        <f>IF(AG272&gt;0,AG144:AG272,0)</f>
        <v>0</v>
      </c>
      <c r="AG272" s="58">
        <f>AC272-AE272</f>
        <v>0</v>
      </c>
      <c r="AI272">
        <f>IF(S272=1,O272-T272,0)</f>
        <v>0</v>
      </c>
      <c r="AJ272">
        <f>IF(S272=2,O272-T272,0)</f>
        <v>0</v>
      </c>
      <c r="AK272">
        <f>IF(S272=3,O272-T272,0)</f>
        <v>0</v>
      </c>
      <c r="AL272">
        <f>IF(S272=4,O272-T272,0)</f>
        <v>0</v>
      </c>
      <c r="AN272">
        <f>IF(S272=1,O272-T272,0)</f>
        <v>0</v>
      </c>
      <c r="AO272">
        <f>IF(S272=2,O272-T272,0)</f>
        <v>0</v>
      </c>
      <c r="AP272">
        <f>IF(S272=3,O272-T272,0)</f>
        <v>0</v>
      </c>
      <c r="AQ272">
        <f>IF(S272=4,O272-T272,0)</f>
        <v>0</v>
      </c>
    </row>
    <row r="273" spans="1:44" x14ac:dyDescent="0.3">
      <c r="A273" s="45"/>
      <c r="B273" s="192">
        <f>COUNTIFS(D$226:D272,"&lt;&gt;NA")-COUNTIFS(D$226:D272,"="&amp;D1)</f>
        <v>23</v>
      </c>
      <c r="C273" s="174" t="s">
        <v>472</v>
      </c>
      <c r="D273" s="46">
        <f>SUM(E226:E272)</f>
        <v>87</v>
      </c>
      <c r="E273" s="46"/>
      <c r="F273" s="46"/>
      <c r="G273" s="63" t="s">
        <v>215</v>
      </c>
      <c r="H273" s="62">
        <f>SUM(H225:H272)-SUM(E226:E272)</f>
        <v>202</v>
      </c>
      <c r="I273" s="62"/>
      <c r="J273" s="61">
        <f>ROUND(H273/7,0)</f>
        <v>29</v>
      </c>
      <c r="K273" s="61" t="s">
        <v>214</v>
      </c>
      <c r="L273" s="63" t="s">
        <v>216</v>
      </c>
      <c r="M273" s="151">
        <f>ROUND(AF273/J273,0)</f>
        <v>1711</v>
      </c>
      <c r="N273" s="45"/>
      <c r="O273" s="82">
        <f>SUM(O226:O272)</f>
        <v>52918.94</v>
      </c>
      <c r="P273" s="49"/>
      <c r="Q273" s="80">
        <f>Z273</f>
        <v>0</v>
      </c>
      <c r="R273" s="79" t="s">
        <v>254</v>
      </c>
      <c r="S273" s="126"/>
      <c r="T273" s="73"/>
      <c r="U273" s="48"/>
      <c r="V273" s="48"/>
      <c r="W273" s="47"/>
      <c r="X273" s="49"/>
      <c r="Y273" s="49">
        <f>Z273</f>
        <v>0</v>
      </c>
      <c r="Z273" s="49">
        <f>SUM(Z226:Z272)</f>
        <v>0</v>
      </c>
      <c r="AA273" s="49">
        <f>SUM(AA226:AA272)</f>
        <v>4550</v>
      </c>
      <c r="AB273" s="49">
        <f>AA273</f>
        <v>4550</v>
      </c>
      <c r="AC273" s="45"/>
      <c r="AD273" s="49"/>
      <c r="AE273" s="49">
        <f>SUM(AE226:AE272)</f>
        <v>720</v>
      </c>
      <c r="AF273" s="49">
        <f>SUM(AF226:AF272)</f>
        <v>49609.94</v>
      </c>
      <c r="AG273" s="82">
        <f>SUM(AG226:AG272)</f>
        <v>48019.94</v>
      </c>
      <c r="AH273" s="45">
        <f>AG273</f>
        <v>48019.94</v>
      </c>
      <c r="AI273" s="129">
        <f>SUM(AI226:AI272)</f>
        <v>0</v>
      </c>
      <c r="AJ273" s="129">
        <f>SUM(AJ226:AJ272)</f>
        <v>0</v>
      </c>
      <c r="AK273" s="129">
        <f>SUM(AK226:AK272)</f>
        <v>0</v>
      </c>
      <c r="AL273" s="129">
        <f>SUM(AL226:AL272)</f>
        <v>0</v>
      </c>
      <c r="AM273" s="131">
        <f>SUM(AI273:AL273)</f>
        <v>0</v>
      </c>
      <c r="AN273" s="129">
        <f>SUM(AN226:AN272)</f>
        <v>0</v>
      </c>
      <c r="AO273" s="129">
        <f>SUM(AO226:AO272)</f>
        <v>0</v>
      </c>
      <c r="AP273" s="129">
        <f>SUM(AP226:AP272)</f>
        <v>0</v>
      </c>
      <c r="AQ273" s="129">
        <f>SUM(AQ226:AQ272)</f>
        <v>0</v>
      </c>
      <c r="AR273" s="131">
        <f>SUM(AN273:AQ273)</f>
        <v>0</v>
      </c>
    </row>
    <row r="274" spans="1:44" s="84" customFormat="1" ht="21" customHeight="1" x14ac:dyDescent="0.45">
      <c r="A274" s="130"/>
      <c r="B274" s="150">
        <v>2017</v>
      </c>
      <c r="C274" s="133"/>
      <c r="D274" s="132"/>
      <c r="E274" s="132"/>
      <c r="F274" s="132"/>
      <c r="G274" s="134"/>
      <c r="H274" s="135"/>
      <c r="I274" s="135"/>
      <c r="J274" s="136"/>
      <c r="K274" s="136"/>
      <c r="L274" s="134"/>
      <c r="M274" s="137"/>
      <c r="N274" s="130"/>
      <c r="O274" s="138"/>
      <c r="P274" s="139"/>
      <c r="Q274" s="140"/>
      <c r="R274" s="141"/>
      <c r="S274" s="142"/>
      <c r="T274" s="143"/>
      <c r="U274" s="144"/>
      <c r="V274" s="144"/>
      <c r="W274" s="145"/>
      <c r="X274" s="139"/>
      <c r="Y274" s="139"/>
      <c r="Z274" s="139"/>
      <c r="AA274" s="139"/>
      <c r="AB274" s="139"/>
      <c r="AC274" s="130"/>
      <c r="AD274" s="139"/>
      <c r="AE274" s="139"/>
      <c r="AF274" s="139"/>
      <c r="AG274" s="138"/>
      <c r="AH274" s="130"/>
      <c r="AI274" s="119">
        <f>ROUNDUP(AI273*0.04,0)</f>
        <v>0</v>
      </c>
      <c r="AJ274" s="119">
        <f>ROUNDUP(AJ273*0.04,0)</f>
        <v>0</v>
      </c>
      <c r="AK274" s="119">
        <f>ROUNDUP(AK273*0.04,0)</f>
        <v>0</v>
      </c>
      <c r="AL274" s="119">
        <f>ROUNDUP(AL273*0.04,0)</f>
        <v>0</v>
      </c>
      <c r="AM274" s="131">
        <f>SUM(AI274:AL274)</f>
        <v>0</v>
      </c>
      <c r="AN274" s="119">
        <f>ROUNDUP(AN273*0.06,0)</f>
        <v>0</v>
      </c>
      <c r="AO274" s="119">
        <f>ROUNDUP(AO273*0.06,0)</f>
        <v>0</v>
      </c>
      <c r="AP274" s="119">
        <f>ROUNDUP(AP273*0.06,0)</f>
        <v>0</v>
      </c>
      <c r="AQ274" s="119">
        <f>ROUNDUP(AQ273*0.06,0)</f>
        <v>0</v>
      </c>
      <c r="AR274" s="131">
        <f>SUM(AN274:AQ274)</f>
        <v>0</v>
      </c>
    </row>
    <row r="275" spans="1:44" s="84" customFormat="1" x14ac:dyDescent="0.3">
      <c r="B275" s="86"/>
      <c r="C275" s="86"/>
      <c r="E275" s="84">
        <f>IF(D275=$B$12,H275,0)</f>
        <v>0</v>
      </c>
      <c r="F275" s="84">
        <f t="shared" ref="F275:F303" si="257">IF(E275&gt;0,0,1)</f>
        <v>1</v>
      </c>
      <c r="H275" s="148">
        <v>0</v>
      </c>
      <c r="I275" s="85"/>
      <c r="K275" s="84" t="s">
        <v>55</v>
      </c>
      <c r="L275" s="90"/>
      <c r="M275" s="96" t="s">
        <v>36</v>
      </c>
      <c r="O275" s="107">
        <v>0</v>
      </c>
      <c r="P275" s="113">
        <f t="shared" ref="P275:P316" si="258">ROUND((O275*0.4),0)</f>
        <v>0</v>
      </c>
      <c r="Q275" s="84">
        <f t="shared" ref="Q275:Q290" si="259">IF(O275&gt;0,((O275+500)-P275)+T275,0)</f>
        <v>0</v>
      </c>
      <c r="R275" s="57"/>
      <c r="S275" s="89"/>
      <c r="T275" s="89">
        <f t="shared" ref="T275:T291" si="260">IF(U275=$AD$2,47,IF(U275=$AD$1,ROUND(((O275+500)*0.039),0),IF(U275=$AD$3,0)))</f>
        <v>0</v>
      </c>
      <c r="U275" s="87" t="str">
        <f t="shared" ref="U275:U303" si="261">IF(V275=1,$AD$2,IF(V275=2,$AD$1,IF(AND(V275&lt;&gt;1,V275&lt;&gt;20)=TRUE,$AD$3)))</f>
        <v>NONE</v>
      </c>
      <c r="V275" s="97"/>
      <c r="W275" s="90"/>
      <c r="X275" s="89">
        <f t="shared" ref="X275:X316" si="262">Q275+P275</f>
        <v>0</v>
      </c>
      <c r="Y275" s="89"/>
      <c r="Z275" s="58">
        <f t="shared" ref="Z275:Z303" si="263">IF(W275=$Z$1,Q275-500,0)</f>
        <v>0</v>
      </c>
      <c r="AA275" s="58">
        <f t="shared" ref="AA275:AA303" si="264">IF(H275&gt;0,130,0)</f>
        <v>0</v>
      </c>
      <c r="AB275" s="58"/>
      <c r="AC275" s="98">
        <f t="shared" ref="AC275:AC303" si="265">(O275+T275)-AA275</f>
        <v>0</v>
      </c>
      <c r="AD275" s="58"/>
      <c r="AE275" s="58">
        <f t="shared" ref="AE275:AE303" si="266">IF(H275&gt;0,30*F275,0)</f>
        <v>0</v>
      </c>
      <c r="AF275" s="58">
        <f>IF(AG275&gt;0,AG169:AG275,0)</f>
        <v>0</v>
      </c>
      <c r="AG275" s="58">
        <f t="shared" ref="AG275:AG280" si="267">AC275-AE275</f>
        <v>0</v>
      </c>
      <c r="AI275">
        <f t="shared" ref="AI275:AI280" si="268">IF(S275=1,O275-T275,0)</f>
        <v>0</v>
      </c>
      <c r="AJ275">
        <f t="shared" ref="AJ275:AJ280" si="269">IF(S275=2,O275-T275,0)</f>
        <v>0</v>
      </c>
      <c r="AK275">
        <f t="shared" ref="AK275:AK280" si="270">IF(S275=3,O275-T275,0)</f>
        <v>0</v>
      </c>
      <c r="AL275">
        <f t="shared" ref="AL275:AL280" si="271">IF(S275=4,O275-T275,0)</f>
        <v>0</v>
      </c>
      <c r="AM275"/>
      <c r="AN275">
        <f t="shared" ref="AN275:AN280" si="272">IF(S275=1,O275-T275,0)</f>
        <v>0</v>
      </c>
      <c r="AO275">
        <f t="shared" ref="AO275:AO280" si="273">IF(S275=2,O275-T275,0)</f>
        <v>0</v>
      </c>
      <c r="AP275">
        <f t="shared" ref="AP275:AP280" si="274">IF(S275=3,O275-T275,0)</f>
        <v>0</v>
      </c>
      <c r="AQ275">
        <f t="shared" ref="AQ275:AQ280" si="275">IF(S275=4,O275-T275,0)</f>
        <v>0</v>
      </c>
    </row>
    <row r="276" spans="1:44" ht="15.6" x14ac:dyDescent="0.3">
      <c r="B276" s="228" t="s">
        <v>943</v>
      </c>
      <c r="C276" t="s">
        <v>944</v>
      </c>
      <c r="D276" s="84" t="s">
        <v>370</v>
      </c>
      <c r="E276" s="85">
        <f>IF(D276=$B$12,H276,0)</f>
        <v>0</v>
      </c>
      <c r="F276" s="85">
        <f t="shared" si="257"/>
        <v>1</v>
      </c>
      <c r="G276" s="84" t="s">
        <v>942</v>
      </c>
      <c r="H276" s="148">
        <v>8</v>
      </c>
      <c r="I276" s="85"/>
      <c r="J276" s="84" t="s">
        <v>945</v>
      </c>
      <c r="K276" s="84" t="s">
        <v>55</v>
      </c>
      <c r="L276" s="90"/>
      <c r="M276" s="96" t="s">
        <v>36</v>
      </c>
      <c r="N276" s="85"/>
      <c r="O276" s="107">
        <f>1230.65-106.6</f>
        <v>1124.0500000000002</v>
      </c>
      <c r="P276" s="113">
        <v>562.03</v>
      </c>
      <c r="Q276" s="85">
        <f>IF(O276&gt;0,((O276+500)-P276)+T276,0)</f>
        <v>1062.0200000000002</v>
      </c>
      <c r="R276" s="57" t="s">
        <v>946</v>
      </c>
      <c r="S276" s="154"/>
      <c r="T276" s="154">
        <f t="shared" si="260"/>
        <v>0</v>
      </c>
      <c r="U276" s="87" t="str">
        <f t="shared" si="261"/>
        <v>NONE</v>
      </c>
      <c r="V276" s="97"/>
      <c r="W276" s="90" t="s">
        <v>25</v>
      </c>
      <c r="X276" s="203">
        <f t="shared" si="262"/>
        <v>1624.0500000000002</v>
      </c>
      <c r="Y276" s="154"/>
      <c r="Z276" s="113">
        <f t="shared" si="263"/>
        <v>0</v>
      </c>
      <c r="AA276" s="113">
        <f t="shared" si="264"/>
        <v>130</v>
      </c>
      <c r="AB276" s="113"/>
      <c r="AC276" s="155">
        <f t="shared" si="265"/>
        <v>994.05000000000018</v>
      </c>
      <c r="AD276" s="113"/>
      <c r="AE276" s="113">
        <f t="shared" si="266"/>
        <v>30</v>
      </c>
      <c r="AF276" s="113">
        <f>IF(AG276&gt;0,AG153:AG276,0)</f>
        <v>964.05000000000018</v>
      </c>
      <c r="AG276" s="113">
        <f t="shared" si="267"/>
        <v>964.05000000000018</v>
      </c>
      <c r="AI276">
        <f t="shared" si="268"/>
        <v>0</v>
      </c>
      <c r="AJ276">
        <f t="shared" si="269"/>
        <v>0</v>
      </c>
      <c r="AK276">
        <f t="shared" si="270"/>
        <v>0</v>
      </c>
      <c r="AL276">
        <f t="shared" si="271"/>
        <v>0</v>
      </c>
      <c r="AN276">
        <f t="shared" si="272"/>
        <v>0</v>
      </c>
      <c r="AO276">
        <f t="shared" si="273"/>
        <v>0</v>
      </c>
      <c r="AP276">
        <f t="shared" si="274"/>
        <v>0</v>
      </c>
      <c r="AQ276">
        <f t="shared" si="275"/>
        <v>0</v>
      </c>
    </row>
    <row r="277" spans="1:44" x14ac:dyDescent="0.3">
      <c r="B277" s="86"/>
      <c r="C277" s="86"/>
      <c r="D277" s="84"/>
      <c r="E277" s="85">
        <f>IF(D277=$B$12,H277,0)</f>
        <v>0</v>
      </c>
      <c r="F277" s="85">
        <f t="shared" si="257"/>
        <v>1</v>
      </c>
      <c r="G277" s="148"/>
      <c r="H277" s="148">
        <v>0</v>
      </c>
      <c r="I277" s="85"/>
      <c r="J277" s="84"/>
      <c r="K277" s="84" t="s">
        <v>55</v>
      </c>
      <c r="L277" s="146"/>
      <c r="M277" s="96" t="s">
        <v>36</v>
      </c>
      <c r="N277" s="85"/>
      <c r="O277" s="107">
        <v>0</v>
      </c>
      <c r="P277" s="113">
        <f t="shared" si="258"/>
        <v>0</v>
      </c>
      <c r="Q277" s="85">
        <f t="shared" si="259"/>
        <v>0</v>
      </c>
      <c r="R277" s="57"/>
      <c r="S277" s="154"/>
      <c r="T277" s="154">
        <f t="shared" si="260"/>
        <v>0</v>
      </c>
      <c r="U277" s="87" t="str">
        <f t="shared" si="261"/>
        <v>NONE</v>
      </c>
      <c r="V277" s="97"/>
      <c r="W277" s="146"/>
      <c r="X277" s="89">
        <f t="shared" si="262"/>
        <v>0</v>
      </c>
      <c r="Y277" s="154"/>
      <c r="Z277" s="113">
        <f t="shared" si="263"/>
        <v>0</v>
      </c>
      <c r="AA277" s="113">
        <f t="shared" si="264"/>
        <v>0</v>
      </c>
      <c r="AB277" s="113"/>
      <c r="AC277" s="155">
        <f t="shared" si="265"/>
        <v>0</v>
      </c>
      <c r="AD277" s="113"/>
      <c r="AE277" s="113">
        <f t="shared" si="266"/>
        <v>0</v>
      </c>
      <c r="AF277" s="113">
        <f>IF(AG277&gt;0,AG154:AG290,0)</f>
        <v>0</v>
      </c>
      <c r="AG277" s="113">
        <f t="shared" si="267"/>
        <v>0</v>
      </c>
      <c r="AI277">
        <f t="shared" si="268"/>
        <v>0</v>
      </c>
      <c r="AJ277">
        <f t="shared" si="269"/>
        <v>0</v>
      </c>
      <c r="AK277">
        <f t="shared" si="270"/>
        <v>0</v>
      </c>
      <c r="AL277">
        <f t="shared" si="271"/>
        <v>0</v>
      </c>
      <c r="AN277">
        <f t="shared" si="272"/>
        <v>0</v>
      </c>
      <c r="AO277">
        <f t="shared" si="273"/>
        <v>0</v>
      </c>
      <c r="AP277">
        <f t="shared" si="274"/>
        <v>0</v>
      </c>
      <c r="AQ277">
        <f t="shared" si="275"/>
        <v>0</v>
      </c>
    </row>
    <row r="278" spans="1:44" x14ac:dyDescent="0.3">
      <c r="B278" s="103" t="s">
        <v>82</v>
      </c>
      <c r="C278" s="86" t="s">
        <v>42</v>
      </c>
      <c r="D278" s="84" t="s">
        <v>42</v>
      </c>
      <c r="E278" s="85">
        <f>IF(D278=$B$12,H278,0)</f>
        <v>3</v>
      </c>
      <c r="F278" s="85">
        <f t="shared" si="257"/>
        <v>0</v>
      </c>
      <c r="G278" s="85" t="s">
        <v>923</v>
      </c>
      <c r="H278" s="148">
        <v>3</v>
      </c>
      <c r="I278" s="85"/>
      <c r="J278" s="84"/>
      <c r="K278" s="84" t="s">
        <v>55</v>
      </c>
      <c r="L278" s="146"/>
      <c r="M278" s="96" t="s">
        <v>36</v>
      </c>
      <c r="N278" s="85"/>
      <c r="O278" s="107">
        <v>0</v>
      </c>
      <c r="P278" s="113">
        <f t="shared" si="258"/>
        <v>0</v>
      </c>
      <c r="Q278" s="85">
        <f t="shared" si="259"/>
        <v>0</v>
      </c>
      <c r="R278" s="57"/>
      <c r="S278" s="154"/>
      <c r="T278" s="154">
        <f t="shared" si="260"/>
        <v>0</v>
      </c>
      <c r="U278" s="87" t="str">
        <f t="shared" si="261"/>
        <v>NONE</v>
      </c>
      <c r="V278" s="97"/>
      <c r="W278" s="90"/>
      <c r="X278" s="89">
        <f t="shared" si="262"/>
        <v>0</v>
      </c>
      <c r="Y278" s="154"/>
      <c r="Z278" s="113">
        <f t="shared" si="263"/>
        <v>0</v>
      </c>
      <c r="AA278" s="113">
        <f t="shared" si="264"/>
        <v>130</v>
      </c>
      <c r="AB278" s="113"/>
      <c r="AC278" s="155">
        <f t="shared" si="265"/>
        <v>-130</v>
      </c>
      <c r="AD278" s="113"/>
      <c r="AE278" s="113">
        <f t="shared" si="266"/>
        <v>0</v>
      </c>
      <c r="AF278" s="113">
        <f>IF(AG278&gt;0,AG155:AG278,0)</f>
        <v>0</v>
      </c>
      <c r="AG278" s="113">
        <f t="shared" si="267"/>
        <v>-130</v>
      </c>
      <c r="AI278">
        <f t="shared" si="268"/>
        <v>0</v>
      </c>
      <c r="AJ278">
        <f t="shared" si="269"/>
        <v>0</v>
      </c>
      <c r="AK278">
        <f t="shared" si="270"/>
        <v>0</v>
      </c>
      <c r="AL278">
        <f t="shared" si="271"/>
        <v>0</v>
      </c>
      <c r="AN278">
        <f t="shared" si="272"/>
        <v>0</v>
      </c>
      <c r="AO278">
        <f t="shared" si="273"/>
        <v>0</v>
      </c>
      <c r="AP278">
        <f t="shared" si="274"/>
        <v>0</v>
      </c>
      <c r="AQ278">
        <f t="shared" si="275"/>
        <v>0</v>
      </c>
    </row>
    <row r="279" spans="1:44" x14ac:dyDescent="0.3">
      <c r="B279" s="86" t="s">
        <v>867</v>
      </c>
      <c r="C279" t="s">
        <v>866</v>
      </c>
      <c r="D279" s="84" t="s">
        <v>822</v>
      </c>
      <c r="E279" s="84">
        <f>IF(D224=$B$12,H279,0)</f>
        <v>0</v>
      </c>
      <c r="F279" s="84">
        <f t="shared" si="257"/>
        <v>1</v>
      </c>
      <c r="G279" s="148" t="s">
        <v>963</v>
      </c>
      <c r="H279" s="148">
        <v>31</v>
      </c>
      <c r="I279" s="85"/>
      <c r="J279" s="84" t="s">
        <v>777</v>
      </c>
      <c r="K279" s="84" t="s">
        <v>55</v>
      </c>
      <c r="L279" s="188" t="s">
        <v>869</v>
      </c>
      <c r="M279" s="96" t="s">
        <v>36</v>
      </c>
      <c r="N279" s="84"/>
      <c r="O279" s="107">
        <f>8989-300</f>
        <v>8689</v>
      </c>
      <c r="P279" s="113">
        <f t="shared" si="258"/>
        <v>3476</v>
      </c>
      <c r="Q279" s="85">
        <f t="shared" si="259"/>
        <v>5713</v>
      </c>
      <c r="R279" s="57" t="s">
        <v>868</v>
      </c>
      <c r="S279" s="89"/>
      <c r="T279" s="154">
        <f t="shared" si="260"/>
        <v>0</v>
      </c>
      <c r="U279" s="87" t="str">
        <f t="shared" si="261"/>
        <v>NONE</v>
      </c>
      <c r="V279" s="97"/>
      <c r="W279" s="90" t="s">
        <v>981</v>
      </c>
      <c r="X279" s="89">
        <f t="shared" si="262"/>
        <v>9189</v>
      </c>
      <c r="Y279" s="89"/>
      <c r="Z279" s="58">
        <f t="shared" si="263"/>
        <v>0</v>
      </c>
      <c r="AA279" s="58">
        <f t="shared" si="264"/>
        <v>130</v>
      </c>
      <c r="AB279" s="58"/>
      <c r="AC279" s="98">
        <f t="shared" si="265"/>
        <v>8559</v>
      </c>
      <c r="AD279" s="58"/>
      <c r="AE279" s="58">
        <f t="shared" si="266"/>
        <v>30</v>
      </c>
      <c r="AF279" s="58">
        <f>IF(AG279&gt;0,AG157:AG279,0)</f>
        <v>8529</v>
      </c>
      <c r="AG279" s="58">
        <f t="shared" si="267"/>
        <v>8529</v>
      </c>
      <c r="AI279">
        <f t="shared" si="268"/>
        <v>0</v>
      </c>
      <c r="AJ279">
        <f t="shared" si="269"/>
        <v>0</v>
      </c>
      <c r="AK279">
        <f t="shared" si="270"/>
        <v>0</v>
      </c>
      <c r="AL279">
        <f t="shared" si="271"/>
        <v>0</v>
      </c>
      <c r="AN279">
        <f t="shared" si="272"/>
        <v>0</v>
      </c>
      <c r="AO279">
        <f t="shared" si="273"/>
        <v>0</v>
      </c>
      <c r="AP279">
        <f t="shared" si="274"/>
        <v>0</v>
      </c>
      <c r="AQ279">
        <f t="shared" si="275"/>
        <v>0</v>
      </c>
    </row>
    <row r="280" spans="1:44" x14ac:dyDescent="0.3">
      <c r="B280" s="148"/>
      <c r="C280" s="84"/>
      <c r="D280" s="84"/>
      <c r="E280" s="84">
        <f t="shared" ref="E280:E303" si="276">IF(D280=$B$12,H280,0)</f>
        <v>0</v>
      </c>
      <c r="F280" s="84">
        <f t="shared" si="257"/>
        <v>1</v>
      </c>
      <c r="G280" s="148"/>
      <c r="H280" s="148">
        <v>0</v>
      </c>
      <c r="I280" s="85"/>
      <c r="J280" s="84"/>
      <c r="K280" s="84" t="s">
        <v>55</v>
      </c>
      <c r="L280" s="90"/>
      <c r="M280" s="96" t="s">
        <v>36</v>
      </c>
      <c r="N280" s="84"/>
      <c r="O280" s="107">
        <v>0</v>
      </c>
      <c r="P280" s="113">
        <f t="shared" si="258"/>
        <v>0</v>
      </c>
      <c r="Q280" s="85">
        <f t="shared" si="259"/>
        <v>0</v>
      </c>
      <c r="R280" s="57"/>
      <c r="S280" s="89"/>
      <c r="T280" s="154">
        <f t="shared" si="260"/>
        <v>0</v>
      </c>
      <c r="U280" s="87" t="str">
        <f t="shared" si="261"/>
        <v>NONE</v>
      </c>
      <c r="V280" s="97"/>
      <c r="W280" s="90"/>
      <c r="X280" s="89">
        <f t="shared" si="262"/>
        <v>0</v>
      </c>
      <c r="Y280" s="89"/>
      <c r="Z280" s="58">
        <f t="shared" si="263"/>
        <v>0</v>
      </c>
      <c r="AA280" s="58">
        <f t="shared" si="264"/>
        <v>0</v>
      </c>
      <c r="AB280" s="58"/>
      <c r="AC280" s="98">
        <f t="shared" si="265"/>
        <v>0</v>
      </c>
      <c r="AD280" s="58"/>
      <c r="AE280" s="58">
        <f t="shared" si="266"/>
        <v>0</v>
      </c>
      <c r="AF280" s="58">
        <f>IF(AG280&gt;0,AG165:AG280,0)</f>
        <v>0</v>
      </c>
      <c r="AG280" s="58">
        <f t="shared" si="267"/>
        <v>0</v>
      </c>
      <c r="AI280">
        <f t="shared" si="268"/>
        <v>0</v>
      </c>
      <c r="AJ280">
        <f t="shared" si="269"/>
        <v>0</v>
      </c>
      <c r="AK280">
        <f t="shared" si="270"/>
        <v>0</v>
      </c>
      <c r="AL280">
        <f t="shared" si="271"/>
        <v>0</v>
      </c>
      <c r="AN280">
        <f t="shared" si="272"/>
        <v>0</v>
      </c>
      <c r="AO280">
        <f t="shared" si="273"/>
        <v>0</v>
      </c>
      <c r="AP280">
        <f t="shared" si="274"/>
        <v>0</v>
      </c>
      <c r="AQ280">
        <f t="shared" si="275"/>
        <v>0</v>
      </c>
    </row>
    <row r="281" spans="1:44" x14ac:dyDescent="0.3">
      <c r="B281" s="103" t="s">
        <v>82</v>
      </c>
      <c r="C281" s="86" t="s">
        <v>42</v>
      </c>
      <c r="D281" s="84" t="s">
        <v>42</v>
      </c>
      <c r="E281" s="84">
        <f t="shared" si="276"/>
        <v>9</v>
      </c>
      <c r="F281" s="84">
        <f t="shared" si="257"/>
        <v>0</v>
      </c>
      <c r="G281" s="84" t="s">
        <v>791</v>
      </c>
      <c r="H281" s="148">
        <v>9</v>
      </c>
      <c r="I281" s="85"/>
      <c r="J281" s="84"/>
      <c r="K281" s="84" t="s">
        <v>55</v>
      </c>
      <c r="L281" s="90"/>
      <c r="M281" s="96" t="s">
        <v>36</v>
      </c>
      <c r="N281" s="84"/>
      <c r="O281" s="107">
        <v>0</v>
      </c>
      <c r="P281" s="113">
        <f t="shared" si="258"/>
        <v>0</v>
      </c>
      <c r="Q281" s="84">
        <f t="shared" si="259"/>
        <v>0</v>
      </c>
      <c r="R281" s="57"/>
      <c r="S281" s="89"/>
      <c r="T281" s="154">
        <f t="shared" si="260"/>
        <v>0</v>
      </c>
      <c r="U281" s="87" t="str">
        <f t="shared" si="261"/>
        <v>NONE</v>
      </c>
      <c r="V281" s="97"/>
      <c r="W281" s="90"/>
      <c r="X281" s="89">
        <f t="shared" si="262"/>
        <v>0</v>
      </c>
      <c r="Y281" s="89"/>
      <c r="Z281" s="58">
        <f t="shared" si="263"/>
        <v>0</v>
      </c>
      <c r="AA281" s="58">
        <f t="shared" si="264"/>
        <v>130</v>
      </c>
      <c r="AB281" s="58"/>
      <c r="AC281" s="98">
        <f t="shared" si="265"/>
        <v>-130</v>
      </c>
      <c r="AD281" s="58"/>
      <c r="AE281" s="58">
        <f t="shared" si="266"/>
        <v>0</v>
      </c>
      <c r="AF281" s="58">
        <f>IF(AG281&gt;0,AG144:AG281,0)</f>
        <v>0</v>
      </c>
      <c r="AG281" s="58">
        <f>AC281-AE281</f>
        <v>-130</v>
      </c>
      <c r="AH281" s="84"/>
      <c r="AI281" s="84">
        <f>IF(S281=1,O281-T281,0)</f>
        <v>0</v>
      </c>
      <c r="AJ281">
        <f>IF(S281=2,O281-T281,0)</f>
        <v>0</v>
      </c>
      <c r="AK281">
        <f>IF(S281=3,O281-T281,0)</f>
        <v>0</v>
      </c>
      <c r="AL281">
        <f>IF(S281=4,O281-T281,0)</f>
        <v>0</v>
      </c>
      <c r="AN281">
        <f>IF(S281=1,O281-T281,0)</f>
        <v>0</v>
      </c>
      <c r="AO281">
        <f>IF(S281=2,O281-T281,0)</f>
        <v>0</v>
      </c>
      <c r="AP281">
        <f>IF(S281=3,O281-T281,0)</f>
        <v>0</v>
      </c>
      <c r="AQ281">
        <f>IF(S281=4,O281-T281,0)</f>
        <v>0</v>
      </c>
    </row>
    <row r="282" spans="1:44" ht="15.6" x14ac:dyDescent="0.3">
      <c r="B282" s="86" t="s">
        <v>870</v>
      </c>
      <c r="C282" t="s">
        <v>641</v>
      </c>
      <c r="D282" s="84" t="s">
        <v>616</v>
      </c>
      <c r="E282" s="85">
        <f>IF(D282=$B$12,H282,0)</f>
        <v>0</v>
      </c>
      <c r="F282" s="85">
        <f>IF(E282&gt;0,0,1)</f>
        <v>1</v>
      </c>
      <c r="G282" s="60" t="s">
        <v>892</v>
      </c>
      <c r="H282" s="148">
        <v>21</v>
      </c>
      <c r="I282" s="88"/>
      <c r="J282" s="84" t="s">
        <v>799</v>
      </c>
      <c r="K282" s="84" t="s">
        <v>55</v>
      </c>
      <c r="L282" s="60"/>
      <c r="M282" s="96" t="s">
        <v>36</v>
      </c>
      <c r="N282" s="84"/>
      <c r="O282" s="107">
        <f>5990</f>
        <v>5990</v>
      </c>
      <c r="P282" s="113">
        <v>2117</v>
      </c>
      <c r="Q282" s="85">
        <v>3373</v>
      </c>
      <c r="R282" s="227" t="s">
        <v>961</v>
      </c>
      <c r="S282" s="154"/>
      <c r="T282" s="154">
        <f t="shared" si="260"/>
        <v>253</v>
      </c>
      <c r="U282" s="87" t="str">
        <f>IF(V282=1,$AD$2,IF(V282=2,$AD$1,IF(AND(V282&lt;&gt;1,V282&lt;&gt;20)=TRUE,$AD$3)))</f>
        <v>PAYPAL</v>
      </c>
      <c r="V282" s="97">
        <v>2</v>
      </c>
      <c r="W282" s="146" t="s">
        <v>962</v>
      </c>
      <c r="X282" s="89">
        <f>Q282+P282</f>
        <v>5490</v>
      </c>
      <c r="Y282" s="154"/>
      <c r="Z282" s="113">
        <f>IF(W282=$Z$1,Q282-500,0)</f>
        <v>0</v>
      </c>
      <c r="AA282" s="113">
        <f>IF(H282&gt;0,130,0)</f>
        <v>130</v>
      </c>
      <c r="AB282" s="113"/>
      <c r="AC282" s="155">
        <f>(O282+T282)-AA282</f>
        <v>6113</v>
      </c>
      <c r="AD282" s="113"/>
      <c r="AE282" s="113">
        <f>IF(H282&gt;0,30*F282,0)</f>
        <v>30</v>
      </c>
      <c r="AF282" s="113">
        <f>IF(AG282&gt;0,AG167:AG282,0)</f>
        <v>6083</v>
      </c>
      <c r="AG282" s="113">
        <f>AC282-AE282</f>
        <v>6083</v>
      </c>
      <c r="AI282">
        <f>IF(S282=1,O282-T282,0)</f>
        <v>0</v>
      </c>
      <c r="AJ282">
        <f>IF(S282=2,O282-T282,0)</f>
        <v>0</v>
      </c>
      <c r="AK282">
        <f>IF(S282=3,O282-T282,0)</f>
        <v>0</v>
      </c>
      <c r="AL282">
        <f>IF(S282=4,O282-T282,0)</f>
        <v>0</v>
      </c>
      <c r="AN282">
        <f>IF(S282=1,O282-T282,0)</f>
        <v>0</v>
      </c>
      <c r="AO282">
        <f>IF(S282=2,O282-T282,0)</f>
        <v>0</v>
      </c>
      <c r="AP282">
        <f>IF(S282=3,O282-T282,0)</f>
        <v>0</v>
      </c>
      <c r="AQ282">
        <f>IF(S282=4,O282-T282,0)</f>
        <v>0</v>
      </c>
    </row>
    <row r="283" spans="1:44" x14ac:dyDescent="0.3">
      <c r="B283" s="86" t="s">
        <v>987</v>
      </c>
      <c r="C283" t="s">
        <v>986</v>
      </c>
      <c r="D283" s="84" t="s">
        <v>370</v>
      </c>
      <c r="E283" s="85">
        <f t="shared" ref="E283" si="277">IF(D283=$B$12,H283,0)</f>
        <v>0</v>
      </c>
      <c r="F283" s="85">
        <f t="shared" ref="F283" si="278">IF(E283&gt;0,0,1)</f>
        <v>1</v>
      </c>
      <c r="G283" s="85" t="s">
        <v>984</v>
      </c>
      <c r="H283" s="148">
        <v>4</v>
      </c>
      <c r="I283" s="85"/>
      <c r="J283" s="84" t="s">
        <v>985</v>
      </c>
      <c r="K283" s="84" t="s">
        <v>55</v>
      </c>
      <c r="L283" s="146"/>
      <c r="M283" s="96" t="s">
        <v>36</v>
      </c>
      <c r="N283" s="85"/>
      <c r="O283" s="107">
        <v>1965.75</v>
      </c>
      <c r="P283" s="113">
        <f>ROUND((O283*0.5),0)</f>
        <v>983</v>
      </c>
      <c r="Q283" s="85">
        <f t="shared" ref="Q283" si="279">IF(O283&gt;0,((O283+500)-P283)+T283,0)</f>
        <v>1482.75</v>
      </c>
      <c r="R283" s="57"/>
      <c r="S283" s="154"/>
      <c r="T283" s="154">
        <f t="shared" ref="T283" si="280">IF(U283=$AD$2,47,IF(U283=$AD$1,ROUND(((O283+500)*0.039),0),IF(U283=$AD$3,0)))</f>
        <v>0</v>
      </c>
      <c r="U283" s="87" t="str">
        <f t="shared" ref="U283" si="281">IF(V283=1,$AD$2,IF(V283=2,$AD$1,IF(AND(V283&lt;&gt;1,V283&lt;&gt;20)=TRUE,$AD$3)))</f>
        <v>NONE</v>
      </c>
      <c r="V283" s="97"/>
      <c r="W283" s="90" t="s">
        <v>171</v>
      </c>
      <c r="X283" s="89">
        <f t="shared" ref="X283" si="282">Q283+P283</f>
        <v>2465.75</v>
      </c>
      <c r="Y283" s="154"/>
      <c r="Z283" s="113">
        <f t="shared" ref="Z283" si="283">IF(W283=$Z$1,Q283-500,0)</f>
        <v>0</v>
      </c>
      <c r="AA283" s="113">
        <f t="shared" ref="AA283" si="284">IF(H283&gt;0,130,0)</f>
        <v>130</v>
      </c>
      <c r="AB283" s="113"/>
      <c r="AC283" s="155">
        <f t="shared" ref="AC283" si="285">(O283+T283)-AA283</f>
        <v>1835.75</v>
      </c>
      <c r="AD283" s="113"/>
      <c r="AE283" s="113">
        <f t="shared" ref="AE283" si="286">IF(H283&gt;0,30*F283,0)</f>
        <v>30</v>
      </c>
      <c r="AF283" s="113">
        <f>IF(AG283&gt;0,AG160:AG305,0)</f>
        <v>1805.75</v>
      </c>
      <c r="AG283" s="113">
        <f>AC283-AE283</f>
        <v>1805.75</v>
      </c>
      <c r="AI283">
        <f>IF(S283=1,O283-T283,0)</f>
        <v>0</v>
      </c>
      <c r="AJ283">
        <f>IF(S283=2,O283-T283,0)</f>
        <v>0</v>
      </c>
      <c r="AK283">
        <f>IF(S283=3,O283-T283,0)</f>
        <v>0</v>
      </c>
      <c r="AL283">
        <f>IF(S283=4,O283-T283,0)</f>
        <v>0</v>
      </c>
      <c r="AN283">
        <f>IF(S283=1,O283-T283,0)</f>
        <v>0</v>
      </c>
      <c r="AO283">
        <f>IF(S283=2,O283-T283,0)</f>
        <v>0</v>
      </c>
      <c r="AP283">
        <f>IF(S283=3,O283-T283,0)</f>
        <v>0</v>
      </c>
      <c r="AQ283">
        <f>IF(S283=4,O283-T283,0)</f>
        <v>0</v>
      </c>
    </row>
    <row r="284" spans="1:44" x14ac:dyDescent="0.3">
      <c r="B284" s="103" t="s">
        <v>82</v>
      </c>
      <c r="C284" s="86" t="s">
        <v>42</v>
      </c>
      <c r="D284" s="84" t="s">
        <v>42</v>
      </c>
      <c r="E284" s="85">
        <f t="shared" si="276"/>
        <v>2</v>
      </c>
      <c r="F284" s="85">
        <f t="shared" si="257"/>
        <v>0</v>
      </c>
      <c r="G284" s="85" t="s">
        <v>891</v>
      </c>
      <c r="H284" s="148">
        <v>2</v>
      </c>
      <c r="I284" s="85"/>
      <c r="J284" s="84"/>
      <c r="K284" s="84" t="s">
        <v>55</v>
      </c>
      <c r="L284" s="146"/>
      <c r="M284" s="96" t="s">
        <v>36</v>
      </c>
      <c r="N284" s="85"/>
      <c r="O284" s="107">
        <v>0</v>
      </c>
      <c r="P284" s="113">
        <f t="shared" si="258"/>
        <v>0</v>
      </c>
      <c r="Q284" s="85">
        <f t="shared" si="259"/>
        <v>0</v>
      </c>
      <c r="R284" s="57"/>
      <c r="S284" s="154"/>
      <c r="T284" s="154">
        <f t="shared" si="260"/>
        <v>0</v>
      </c>
      <c r="U284" s="87" t="str">
        <f t="shared" si="261"/>
        <v>NONE</v>
      </c>
      <c r="V284" s="97"/>
      <c r="W284" s="90"/>
      <c r="X284" s="89">
        <f t="shared" si="262"/>
        <v>0</v>
      </c>
      <c r="Y284" s="154"/>
      <c r="Z284" s="113">
        <f t="shared" si="263"/>
        <v>0</v>
      </c>
      <c r="AA284" s="113">
        <f t="shared" si="264"/>
        <v>130</v>
      </c>
      <c r="AB284" s="113"/>
      <c r="AC284" s="155">
        <f t="shared" si="265"/>
        <v>-130</v>
      </c>
      <c r="AD284" s="113"/>
      <c r="AE284" s="113">
        <f t="shared" si="266"/>
        <v>0</v>
      </c>
      <c r="AF284" s="113">
        <f>IF(AG284&gt;0,AG161:AG307,0)</f>
        <v>0</v>
      </c>
      <c r="AG284" s="113">
        <f>AC284-AE284</f>
        <v>-130</v>
      </c>
      <c r="AI284">
        <f>IF(S284=1,O284-T284,0)</f>
        <v>0</v>
      </c>
      <c r="AJ284">
        <f>IF(S284=2,O284-T284,0)</f>
        <v>0</v>
      </c>
      <c r="AK284">
        <f>IF(S284=3,O284-T284,0)</f>
        <v>0</v>
      </c>
      <c r="AL284">
        <f>IF(S284=4,O284-T284,0)</f>
        <v>0</v>
      </c>
      <c r="AN284">
        <f>IF(S284=1,O284-T284,0)</f>
        <v>0</v>
      </c>
      <c r="AO284">
        <f>IF(S284=2,O284-T284,0)</f>
        <v>0</v>
      </c>
      <c r="AP284">
        <f>IF(S284=3,O284-T284,0)</f>
        <v>0</v>
      </c>
      <c r="AQ284">
        <f>IF(S284=4,O284-T284,0)</f>
        <v>0</v>
      </c>
    </row>
    <row r="285" spans="1:44" x14ac:dyDescent="0.3">
      <c r="B285" s="86" t="s">
        <v>897</v>
      </c>
      <c r="C285" s="84" t="s">
        <v>898</v>
      </c>
      <c r="D285" s="84" t="s">
        <v>899</v>
      </c>
      <c r="E285" s="85">
        <f>IF(D285=$B$12,H285,0)</f>
        <v>0</v>
      </c>
      <c r="F285" s="85">
        <f>IF(E285&gt;0,0,1)</f>
        <v>1</v>
      </c>
      <c r="G285" s="60" t="s">
        <v>900</v>
      </c>
      <c r="H285" s="148">
        <v>7</v>
      </c>
      <c r="I285" s="88"/>
      <c r="J285" s="119" t="s">
        <v>901</v>
      </c>
      <c r="K285" s="84" t="s">
        <v>55</v>
      </c>
      <c r="L285" s="220" t="s">
        <v>902</v>
      </c>
      <c r="M285" s="96" t="s">
        <v>36</v>
      </c>
      <c r="N285" s="84"/>
      <c r="O285" s="107">
        <v>2694</v>
      </c>
      <c r="P285" s="113">
        <f>ROUND((O285*0.4),0)</f>
        <v>1078</v>
      </c>
      <c r="Q285" s="85">
        <f>IF(O285&gt;0,((O285+500)-P285)+T285,0)</f>
        <v>2116</v>
      </c>
      <c r="R285" s="57" t="s">
        <v>903</v>
      </c>
      <c r="S285" s="154"/>
      <c r="T285" s="154">
        <f>IF(U285=$AD$2,47,IF(U285=$AD$1,ROUND(((O285+500)*0.039),0),IF(U285=$AD$3,0)))</f>
        <v>0</v>
      </c>
      <c r="U285" s="87" t="str">
        <f>IF(V285=1,$AD$2,IF(V285=2,$AD$1,IF(AND(V285&lt;&gt;1,V285&lt;&gt;20)=TRUE,$AD$3)))</f>
        <v>NONE</v>
      </c>
      <c r="V285" s="97"/>
      <c r="W285" s="146" t="s">
        <v>25</v>
      </c>
      <c r="X285" s="89">
        <f>Q285+P285</f>
        <v>3194</v>
      </c>
      <c r="Y285" s="154"/>
      <c r="Z285" s="113">
        <f>IF(W285=$Z$1,Q285-500,0)</f>
        <v>0</v>
      </c>
      <c r="AA285" s="113">
        <f>IF(H285&gt;0,130,0)</f>
        <v>130</v>
      </c>
      <c r="AB285" s="113"/>
      <c r="AC285" s="155">
        <f>(O285+T285)-AA285</f>
        <v>2564</v>
      </c>
      <c r="AD285" s="113"/>
      <c r="AE285" s="113">
        <f>IF(H285&gt;0,30*F285,0)</f>
        <v>30</v>
      </c>
      <c r="AF285" s="113">
        <f>IF(AG285&gt;0,AG168:AG285,0)</f>
        <v>2534</v>
      </c>
      <c r="AG285" s="113">
        <f>AC285-AE285</f>
        <v>2534</v>
      </c>
      <c r="AI285">
        <f>IF(S285=1,O285-T285,0)</f>
        <v>0</v>
      </c>
      <c r="AJ285">
        <f>IF(S285=2,O285-T285,0)</f>
        <v>0</v>
      </c>
      <c r="AK285">
        <f>IF(S285=3,O285-T285,0)</f>
        <v>0</v>
      </c>
      <c r="AL285">
        <f>IF(S285=4,O285-T285,0)</f>
        <v>0</v>
      </c>
      <c r="AN285">
        <f>IF(S285=1,O285-T285,0)</f>
        <v>0</v>
      </c>
      <c r="AO285">
        <f>IF(S285=2,O285-T285,0)</f>
        <v>0</v>
      </c>
      <c r="AP285">
        <f>IF(S285=3,O285-T285,0)</f>
        <v>0</v>
      </c>
      <c r="AQ285">
        <f>IF(S285=4,O285-T285,0)</f>
        <v>0</v>
      </c>
    </row>
    <row r="286" spans="1:44" x14ac:dyDescent="0.3">
      <c r="B286" s="84" t="s">
        <v>975</v>
      </c>
      <c r="C286" t="s">
        <v>973</v>
      </c>
      <c r="D286" s="84" t="s">
        <v>885</v>
      </c>
      <c r="E286" s="85">
        <f t="shared" si="276"/>
        <v>0</v>
      </c>
      <c r="F286" s="85">
        <f t="shared" si="257"/>
        <v>1</v>
      </c>
      <c r="G286" s="60" t="s">
        <v>972</v>
      </c>
      <c r="H286" s="148">
        <v>4</v>
      </c>
      <c r="I286" s="88"/>
      <c r="J286" s="84" t="s">
        <v>143</v>
      </c>
      <c r="K286" s="84" t="s">
        <v>55</v>
      </c>
      <c r="L286" s="99" t="s">
        <v>974</v>
      </c>
      <c r="M286" s="96" t="s">
        <v>36</v>
      </c>
      <c r="N286" s="84"/>
      <c r="O286" s="107">
        <v>1312</v>
      </c>
      <c r="P286" s="113">
        <f t="shared" si="258"/>
        <v>525</v>
      </c>
      <c r="Q286" s="85">
        <f t="shared" si="259"/>
        <v>1287</v>
      </c>
      <c r="R286" s="240" t="s">
        <v>156</v>
      </c>
      <c r="S286" s="154"/>
      <c r="T286" s="154">
        <f t="shared" si="260"/>
        <v>0</v>
      </c>
      <c r="U286" s="87" t="str">
        <f t="shared" si="261"/>
        <v>NONE</v>
      </c>
      <c r="V286" s="97"/>
      <c r="W286" s="109" t="s">
        <v>25</v>
      </c>
      <c r="X286" s="89">
        <f t="shared" si="262"/>
        <v>1812</v>
      </c>
      <c r="Y286" s="154"/>
      <c r="Z286" s="113">
        <f t="shared" si="263"/>
        <v>0</v>
      </c>
      <c r="AA286" s="113">
        <f t="shared" si="264"/>
        <v>130</v>
      </c>
      <c r="AB286" s="113"/>
      <c r="AC286" s="155">
        <f t="shared" si="265"/>
        <v>1182</v>
      </c>
      <c r="AD286" s="113"/>
      <c r="AE286" s="113">
        <f t="shared" si="266"/>
        <v>30</v>
      </c>
      <c r="AF286" s="113">
        <f>IF(AG286&gt;0,AG169:AG286,0)</f>
        <v>1152</v>
      </c>
      <c r="AG286" s="113">
        <f t="shared" ref="AG286:AG303" si="287">AC286-AE286</f>
        <v>1152</v>
      </c>
      <c r="AI286">
        <f t="shared" ref="AI286:AI303" si="288">IF(S286=1,O286-T286,0)</f>
        <v>0</v>
      </c>
      <c r="AJ286">
        <f t="shared" ref="AJ286:AJ303" si="289">IF(S286=2,O286-T286,0)</f>
        <v>0</v>
      </c>
      <c r="AK286">
        <f t="shared" ref="AK286:AK303" si="290">IF(S286=3,O286-T286,0)</f>
        <v>0</v>
      </c>
      <c r="AL286">
        <f t="shared" ref="AL286:AL303" si="291">IF(S286=4,O286-T286,0)</f>
        <v>0</v>
      </c>
      <c r="AN286">
        <f t="shared" ref="AN286:AN303" si="292">IF(S286=1,O286-T286,0)</f>
        <v>0</v>
      </c>
      <c r="AO286">
        <f t="shared" ref="AO286:AO303" si="293">IF(S286=2,O286-T286,0)</f>
        <v>0</v>
      </c>
      <c r="AP286">
        <f t="shared" ref="AP286:AP303" si="294">IF(S286=3,O286-T286,0)</f>
        <v>0</v>
      </c>
      <c r="AQ286">
        <f t="shared" ref="AQ286:AQ303" si="295">IF(S286=4,O286-T286,0)</f>
        <v>0</v>
      </c>
    </row>
    <row r="287" spans="1:44" x14ac:dyDescent="0.3">
      <c r="B287" s="103" t="s">
        <v>82</v>
      </c>
      <c r="C287" s="86" t="s">
        <v>42</v>
      </c>
      <c r="D287" s="84" t="s">
        <v>42</v>
      </c>
      <c r="E287" s="85">
        <f t="shared" si="276"/>
        <v>9</v>
      </c>
      <c r="F287" s="85">
        <f t="shared" si="257"/>
        <v>0</v>
      </c>
      <c r="G287" s="85" t="s">
        <v>792</v>
      </c>
      <c r="H287" s="148">
        <v>9</v>
      </c>
      <c r="I287" s="85"/>
      <c r="J287" s="84"/>
      <c r="K287" s="84" t="s">
        <v>55</v>
      </c>
      <c r="L287" s="146"/>
      <c r="M287" s="96" t="s">
        <v>36</v>
      </c>
      <c r="N287" s="85"/>
      <c r="O287" s="107">
        <v>0</v>
      </c>
      <c r="P287" s="113">
        <f t="shared" si="258"/>
        <v>0</v>
      </c>
      <c r="Q287" s="85">
        <f t="shared" si="259"/>
        <v>0</v>
      </c>
      <c r="R287" s="57"/>
      <c r="S287" s="154"/>
      <c r="T287" s="154">
        <f t="shared" si="260"/>
        <v>0</v>
      </c>
      <c r="U287" s="87" t="str">
        <f t="shared" si="261"/>
        <v>NONE</v>
      </c>
      <c r="V287" s="97"/>
      <c r="W287" s="146"/>
      <c r="X287" s="89">
        <f t="shared" si="262"/>
        <v>0</v>
      </c>
      <c r="Y287" s="154"/>
      <c r="Z287" s="113">
        <f t="shared" si="263"/>
        <v>0</v>
      </c>
      <c r="AA287" s="113">
        <f t="shared" si="264"/>
        <v>130</v>
      </c>
      <c r="AB287" s="113"/>
      <c r="AC287" s="155">
        <f t="shared" si="265"/>
        <v>-130</v>
      </c>
      <c r="AD287" s="113"/>
      <c r="AE287" s="113">
        <f t="shared" si="266"/>
        <v>0</v>
      </c>
      <c r="AF287" s="113">
        <f>IF(AG287&gt;0,AG164:AG287,0)</f>
        <v>0</v>
      </c>
      <c r="AG287" s="113">
        <f t="shared" si="287"/>
        <v>-130</v>
      </c>
      <c r="AI287">
        <f t="shared" si="288"/>
        <v>0</v>
      </c>
      <c r="AJ287">
        <f t="shared" si="289"/>
        <v>0</v>
      </c>
      <c r="AK287">
        <f t="shared" si="290"/>
        <v>0</v>
      </c>
      <c r="AL287">
        <f t="shared" si="291"/>
        <v>0</v>
      </c>
      <c r="AN287">
        <f t="shared" si="292"/>
        <v>0</v>
      </c>
      <c r="AO287">
        <f t="shared" si="293"/>
        <v>0</v>
      </c>
      <c r="AP287">
        <f t="shared" si="294"/>
        <v>0</v>
      </c>
      <c r="AQ287">
        <f t="shared" si="295"/>
        <v>0</v>
      </c>
    </row>
    <row r="288" spans="1:44" s="84" customFormat="1" x14ac:dyDescent="0.3">
      <c r="B288" s="86" t="s">
        <v>998</v>
      </c>
      <c r="C288" s="182" t="s">
        <v>999</v>
      </c>
      <c r="D288" s="84" t="s">
        <v>885</v>
      </c>
      <c r="E288" s="84">
        <f t="shared" ref="E288" si="296">IF(D288=$B$12,H288,0)</f>
        <v>0</v>
      </c>
      <c r="F288" s="84">
        <f t="shared" ref="F288" si="297">IF(E288&gt;0,0,1)</f>
        <v>1</v>
      </c>
      <c r="G288" s="85" t="s">
        <v>1000</v>
      </c>
      <c r="H288" s="148">
        <v>5</v>
      </c>
      <c r="I288" s="85"/>
      <c r="J288" s="84" t="s">
        <v>615</v>
      </c>
      <c r="K288" s="84" t="s">
        <v>55</v>
      </c>
      <c r="L288" s="109" t="s">
        <v>1001</v>
      </c>
      <c r="M288" s="96" t="s">
        <v>36</v>
      </c>
      <c r="O288" s="107">
        <v>1567.75</v>
      </c>
      <c r="P288" s="113">
        <f t="shared" ref="P288" si="298">ROUND((O288*0.4),0)</f>
        <v>627</v>
      </c>
      <c r="Q288" s="85">
        <f t="shared" si="259"/>
        <v>1440.75</v>
      </c>
      <c r="R288" s="243" t="s">
        <v>156</v>
      </c>
      <c r="S288" s="89"/>
      <c r="T288" s="89">
        <f t="shared" si="260"/>
        <v>0</v>
      </c>
      <c r="U288" s="87" t="str">
        <f t="shared" ref="U288" si="299">IF(V288=1,$AD$2,IF(V288=2,$AD$1,IF(AND(V288&lt;&gt;1,V288&lt;&gt;20)=TRUE,$AD$3)))</f>
        <v>NONE</v>
      </c>
      <c r="V288" s="97"/>
      <c r="W288" s="90" t="s">
        <v>1002</v>
      </c>
      <c r="X288" s="244">
        <f t="shared" ref="X288" si="300">Q288+P288</f>
        <v>2067.75</v>
      </c>
      <c r="Y288" s="89"/>
      <c r="Z288" s="58">
        <f t="shared" ref="Z288" si="301">IF(W288=$Z$1,Q288-500,0)</f>
        <v>0</v>
      </c>
      <c r="AA288" s="58">
        <f t="shared" ref="AA288" si="302">IF(H288&gt;0,130,0)</f>
        <v>130</v>
      </c>
      <c r="AB288" s="58"/>
      <c r="AC288" s="98">
        <f t="shared" ref="AC288" si="303">(O288+T288)-AA288</f>
        <v>1437.75</v>
      </c>
      <c r="AD288" s="58"/>
      <c r="AE288" s="58">
        <f t="shared" ref="AE288" si="304">IF(H288&gt;0,30*F288,0)</f>
        <v>30</v>
      </c>
      <c r="AF288" s="58">
        <f>IF(AG288&gt;0,AG155:AG288,0)</f>
        <v>1407.75</v>
      </c>
      <c r="AG288" s="58">
        <f t="shared" ref="AG288" si="305">AC288-AE288</f>
        <v>1407.75</v>
      </c>
      <c r="AI288" s="84">
        <f t="shared" ref="AI288" si="306">IF(S288=1,O288-T288,0)</f>
        <v>0</v>
      </c>
      <c r="AJ288" s="84">
        <f t="shared" ref="AJ288" si="307">IF(S288=2,O288-T288,0)</f>
        <v>0</v>
      </c>
      <c r="AK288" s="84">
        <f t="shared" ref="AK288" si="308">IF(S288=3,O288-T288,0)</f>
        <v>0</v>
      </c>
      <c r="AL288" s="84">
        <f t="shared" ref="AL288" si="309">IF(S288=4,O288-T288,0)</f>
        <v>0</v>
      </c>
      <c r="AN288" s="84">
        <f t="shared" ref="AN288" si="310">IF(S288=1,O288-T288,0)</f>
        <v>0</v>
      </c>
      <c r="AO288" s="84">
        <f t="shared" ref="AO288" si="311">IF(S288=2,O288-T288,0)</f>
        <v>0</v>
      </c>
      <c r="AP288" s="84">
        <f t="shared" ref="AP288" si="312">IF(S288=3,O288-T288,0)</f>
        <v>0</v>
      </c>
      <c r="AQ288" s="84">
        <f t="shared" ref="AQ288" si="313">IF(S288=4,O288-T288,0)</f>
        <v>0</v>
      </c>
    </row>
    <row r="289" spans="2:43" x14ac:dyDescent="0.3">
      <c r="B289" s="86" t="s">
        <v>950</v>
      </c>
      <c r="C289" t="s">
        <v>949</v>
      </c>
      <c r="D289" s="85" t="s">
        <v>370</v>
      </c>
      <c r="E289" s="84">
        <f>IF(D289=$B$12,H289,0)</f>
        <v>0</v>
      </c>
      <c r="F289" s="84">
        <f>IF(E289&gt;0,0,1)</f>
        <v>1</v>
      </c>
      <c r="G289" s="60" t="s">
        <v>948</v>
      </c>
      <c r="H289" s="148">
        <v>7</v>
      </c>
      <c r="I289" s="85"/>
      <c r="J289" s="84" t="s">
        <v>615</v>
      </c>
      <c r="K289" s="84" t="s">
        <v>55</v>
      </c>
      <c r="L289" s="90"/>
      <c r="M289" s="96" t="s">
        <v>36</v>
      </c>
      <c r="N289" s="84"/>
      <c r="O289" s="107">
        <v>1841.62</v>
      </c>
      <c r="P289" s="113">
        <f>O289*0.5</f>
        <v>920.81</v>
      </c>
      <c r="Q289" s="85">
        <f>IF(O289&gt;0,((O289+500)-P289)+T289,0)</f>
        <v>1420.81</v>
      </c>
      <c r="R289" s="57" t="s">
        <v>951</v>
      </c>
      <c r="S289" s="89"/>
      <c r="T289" s="154">
        <f>IF(U289=$AD$2,47,IF(U289=$AD$1,ROUND(((O289+500)*0.039),0),IF(U289=$AD$3,0)))</f>
        <v>0</v>
      </c>
      <c r="U289" s="87" t="str">
        <f>IF(V289=1,$AD$2,IF(V289=2,$AD$1,IF(AND(V289&lt;&gt;1,V289&lt;&gt;20)=TRUE,$AD$3)))</f>
        <v>NONE</v>
      </c>
      <c r="V289" s="97"/>
      <c r="W289" s="90" t="s">
        <v>25</v>
      </c>
      <c r="X289" s="222">
        <f>Q289+P289</f>
        <v>2341.62</v>
      </c>
      <c r="Y289" s="89"/>
      <c r="Z289" s="58">
        <f>IF(W289=$Z$1,Q289-500,0)</f>
        <v>0</v>
      </c>
      <c r="AA289" s="58">
        <f>IF(H289&gt;0,130,0)</f>
        <v>130</v>
      </c>
      <c r="AB289" s="58"/>
      <c r="AC289" s="98">
        <f>(O289+T289)-AA289</f>
        <v>1711.62</v>
      </c>
      <c r="AD289" s="58"/>
      <c r="AE289" s="58">
        <f>IF(H289&gt;0,30*F289,0)</f>
        <v>30</v>
      </c>
      <c r="AF289" s="58">
        <f>IF(AG289&gt;0,AG159:AG289,0)</f>
        <v>1681.62</v>
      </c>
      <c r="AG289" s="58">
        <f>AC289-AE289</f>
        <v>1681.62</v>
      </c>
      <c r="AI289">
        <f>IF(S289=1,O289-T289,0)</f>
        <v>0</v>
      </c>
      <c r="AJ289">
        <f>IF(S289=2,O289-T289,0)</f>
        <v>0</v>
      </c>
      <c r="AK289">
        <f>IF(S289=3,O289-T289,0)</f>
        <v>0</v>
      </c>
      <c r="AL289">
        <f>IF(S289=4,O289-T289,0)</f>
        <v>0</v>
      </c>
      <c r="AN289">
        <f>IF(S289=1,O289-T289,0)</f>
        <v>0</v>
      </c>
      <c r="AO289">
        <f>IF(S289=2,O289-T289,0)</f>
        <v>0</v>
      </c>
      <c r="AP289">
        <f>IF(S289=3,O289-T289,0)</f>
        <v>0</v>
      </c>
      <c r="AQ289">
        <f>IF(S289=4,O289-T289,0)</f>
        <v>0</v>
      </c>
    </row>
    <row r="290" spans="2:43" ht="15.6" x14ac:dyDescent="0.3">
      <c r="B290" s="177" t="s">
        <v>855</v>
      </c>
      <c r="C290" t="s">
        <v>97</v>
      </c>
      <c r="D290" s="84"/>
      <c r="E290" s="85">
        <f t="shared" si="276"/>
        <v>0</v>
      </c>
      <c r="F290" s="85">
        <f t="shared" si="257"/>
        <v>1</v>
      </c>
      <c r="G290" s="84" t="s">
        <v>854</v>
      </c>
      <c r="H290" s="148">
        <v>7</v>
      </c>
      <c r="I290" s="85"/>
      <c r="J290" s="84" t="s">
        <v>98</v>
      </c>
      <c r="K290" s="84" t="s">
        <v>55</v>
      </c>
      <c r="L290" s="146"/>
      <c r="M290" s="96" t="s">
        <v>36</v>
      </c>
      <c r="N290" s="85"/>
      <c r="O290" s="107">
        <v>1802</v>
      </c>
      <c r="P290" s="113">
        <f t="shared" si="258"/>
        <v>721</v>
      </c>
      <c r="Q290" s="85">
        <f t="shared" si="259"/>
        <v>1581</v>
      </c>
      <c r="R290" s="57" t="s">
        <v>856</v>
      </c>
      <c r="S290" s="154"/>
      <c r="T290" s="154">
        <f t="shared" si="260"/>
        <v>0</v>
      </c>
      <c r="U290" s="87" t="str">
        <f t="shared" si="261"/>
        <v>NONE</v>
      </c>
      <c r="V290" s="97"/>
      <c r="W290" s="146" t="s">
        <v>909</v>
      </c>
      <c r="X290" s="89">
        <f>Q290+P290</f>
        <v>2302</v>
      </c>
      <c r="Y290" s="154"/>
      <c r="Z290" s="113">
        <f t="shared" si="263"/>
        <v>0</v>
      </c>
      <c r="AA290" s="113">
        <f t="shared" si="264"/>
        <v>130</v>
      </c>
      <c r="AB290" s="113"/>
      <c r="AC290" s="155">
        <f t="shared" si="265"/>
        <v>1672</v>
      </c>
      <c r="AD290" s="113"/>
      <c r="AE290" s="113">
        <f t="shared" si="266"/>
        <v>30</v>
      </c>
      <c r="AF290" s="113">
        <f>IF(AG290&gt;0,AG164:AG309,0)</f>
        <v>1642</v>
      </c>
      <c r="AG290" s="113">
        <f t="shared" si="287"/>
        <v>1642</v>
      </c>
      <c r="AI290">
        <f t="shared" si="288"/>
        <v>0</v>
      </c>
      <c r="AJ290">
        <f t="shared" si="289"/>
        <v>0</v>
      </c>
      <c r="AK290">
        <f t="shared" si="290"/>
        <v>0</v>
      </c>
      <c r="AL290">
        <f t="shared" si="291"/>
        <v>0</v>
      </c>
      <c r="AN290">
        <f t="shared" si="292"/>
        <v>0</v>
      </c>
      <c r="AO290">
        <f t="shared" si="293"/>
        <v>0</v>
      </c>
      <c r="AP290">
        <f t="shared" si="294"/>
        <v>0</v>
      </c>
      <c r="AQ290">
        <f t="shared" si="295"/>
        <v>0</v>
      </c>
    </row>
    <row r="291" spans="2:43" x14ac:dyDescent="0.3">
      <c r="B291" s="84" t="s">
        <v>977</v>
      </c>
      <c r="C291" t="s">
        <v>978</v>
      </c>
      <c r="D291" s="85" t="s">
        <v>616</v>
      </c>
      <c r="E291" s="84">
        <f t="shared" si="276"/>
        <v>0</v>
      </c>
      <c r="F291" s="84">
        <f t="shared" si="257"/>
        <v>1</v>
      </c>
      <c r="G291" s="60" t="s">
        <v>976</v>
      </c>
      <c r="H291" s="148">
        <v>8</v>
      </c>
      <c r="I291" s="85"/>
      <c r="J291" s="84" t="s">
        <v>777</v>
      </c>
      <c r="K291" s="84" t="s">
        <v>55</v>
      </c>
      <c r="L291" s="90"/>
      <c r="M291" s="96" t="s">
        <v>36</v>
      </c>
      <c r="N291" s="84"/>
      <c r="O291" s="107">
        <f>2005.79-130</f>
        <v>1875.79</v>
      </c>
      <c r="P291" s="113">
        <f>1067.9-130</f>
        <v>937.90000000000009</v>
      </c>
      <c r="Q291" s="85">
        <f t="shared" ref="Q291:Q301" si="314">IF(O291&gt;0,((O291+500)-P291)+T291,0)</f>
        <v>1437.8899999999999</v>
      </c>
      <c r="R291" s="57" t="s">
        <v>979</v>
      </c>
      <c r="S291" s="222"/>
      <c r="T291" s="154">
        <f t="shared" si="260"/>
        <v>0</v>
      </c>
      <c r="U291" s="87" t="str">
        <f t="shared" si="261"/>
        <v>NONE</v>
      </c>
      <c r="V291" s="97"/>
      <c r="W291" s="90" t="s">
        <v>981</v>
      </c>
      <c r="X291" s="222">
        <f>Q291+P291</f>
        <v>2375.79</v>
      </c>
      <c r="Y291" s="89"/>
      <c r="Z291" s="58">
        <f t="shared" si="263"/>
        <v>0</v>
      </c>
      <c r="AA291" s="58">
        <f t="shared" si="264"/>
        <v>130</v>
      </c>
      <c r="AB291" s="58"/>
      <c r="AC291" s="98">
        <f t="shared" si="265"/>
        <v>1745.79</v>
      </c>
      <c r="AD291" s="58"/>
      <c r="AE291" s="58">
        <f t="shared" si="266"/>
        <v>30</v>
      </c>
      <c r="AF291" s="58">
        <f>IF(AG291&gt;0,AG161:AG291,0)</f>
        <v>1715.79</v>
      </c>
      <c r="AG291" s="58">
        <f t="shared" si="287"/>
        <v>1715.79</v>
      </c>
      <c r="AI291">
        <f t="shared" si="288"/>
        <v>0</v>
      </c>
      <c r="AJ291">
        <f t="shared" si="289"/>
        <v>0</v>
      </c>
      <c r="AK291">
        <f t="shared" si="290"/>
        <v>0</v>
      </c>
      <c r="AL291">
        <f t="shared" si="291"/>
        <v>0</v>
      </c>
      <c r="AN291">
        <f t="shared" si="292"/>
        <v>0</v>
      </c>
      <c r="AO291">
        <f t="shared" si="293"/>
        <v>0</v>
      </c>
      <c r="AP291">
        <f t="shared" si="294"/>
        <v>0</v>
      </c>
      <c r="AQ291">
        <f t="shared" si="295"/>
        <v>0</v>
      </c>
    </row>
    <row r="292" spans="2:43" x14ac:dyDescent="0.3">
      <c r="B292" s="103" t="s">
        <v>82</v>
      </c>
      <c r="C292" s="86" t="s">
        <v>42</v>
      </c>
      <c r="D292" s="84" t="s">
        <v>42</v>
      </c>
      <c r="E292" s="85">
        <f t="shared" si="276"/>
        <v>3</v>
      </c>
      <c r="F292" s="85">
        <f t="shared" si="257"/>
        <v>0</v>
      </c>
      <c r="G292" s="148" t="s">
        <v>793</v>
      </c>
      <c r="H292" s="148">
        <v>3</v>
      </c>
      <c r="I292" s="85"/>
      <c r="J292" s="84"/>
      <c r="K292" s="84" t="s">
        <v>55</v>
      </c>
      <c r="L292" s="146"/>
      <c r="M292" s="96" t="s">
        <v>36</v>
      </c>
      <c r="N292" s="85"/>
      <c r="O292" s="107">
        <v>0</v>
      </c>
      <c r="P292" s="113">
        <f t="shared" si="258"/>
        <v>0</v>
      </c>
      <c r="Q292" s="85">
        <f t="shared" si="314"/>
        <v>0</v>
      </c>
      <c r="R292" s="57"/>
      <c r="S292" s="154"/>
      <c r="T292" s="154">
        <f t="shared" ref="T292:T303" si="315">IF(U292=$AD$2,47,IF(U292=$AD$1,ROUND(((O292+500)*0.039),0),IF(U292=$AD$3,0)))</f>
        <v>0</v>
      </c>
      <c r="U292" s="87" t="str">
        <f t="shared" si="261"/>
        <v>NONE</v>
      </c>
      <c r="V292" s="97"/>
      <c r="W292" s="90"/>
      <c r="X292" s="89">
        <f t="shared" si="262"/>
        <v>0</v>
      </c>
      <c r="Y292" s="154"/>
      <c r="Z292" s="113">
        <f t="shared" si="263"/>
        <v>0</v>
      </c>
      <c r="AA292" s="113">
        <f t="shared" si="264"/>
        <v>130</v>
      </c>
      <c r="AB292" s="113"/>
      <c r="AC292" s="155">
        <f t="shared" si="265"/>
        <v>-130</v>
      </c>
      <c r="AD292" s="113"/>
      <c r="AE292" s="113">
        <f t="shared" si="266"/>
        <v>0</v>
      </c>
      <c r="AF292" s="113">
        <f>IF(AG292&gt;0,AG161:AG304,0)</f>
        <v>0</v>
      </c>
      <c r="AG292" s="113">
        <f t="shared" si="287"/>
        <v>-130</v>
      </c>
      <c r="AI292">
        <f t="shared" si="288"/>
        <v>0</v>
      </c>
      <c r="AJ292">
        <f t="shared" si="289"/>
        <v>0</v>
      </c>
      <c r="AK292">
        <f t="shared" si="290"/>
        <v>0</v>
      </c>
      <c r="AL292">
        <f t="shared" si="291"/>
        <v>0</v>
      </c>
      <c r="AN292">
        <f t="shared" si="292"/>
        <v>0</v>
      </c>
      <c r="AO292">
        <f t="shared" si="293"/>
        <v>0</v>
      </c>
      <c r="AP292">
        <f t="shared" si="294"/>
        <v>0</v>
      </c>
      <c r="AQ292">
        <f t="shared" si="295"/>
        <v>0</v>
      </c>
    </row>
    <row r="293" spans="2:43" s="231" customFormat="1" x14ac:dyDescent="0.3">
      <c r="B293" s="246" t="s">
        <v>971</v>
      </c>
      <c r="C293" t="s">
        <v>970</v>
      </c>
      <c r="D293" s="231" t="s">
        <v>616</v>
      </c>
      <c r="E293" s="231">
        <f>IF(D293=$B$12,H293,0)</f>
        <v>0</v>
      </c>
      <c r="F293" s="231">
        <f>IF(E293&gt;0,0,1)</f>
        <v>1</v>
      </c>
      <c r="G293" s="231" t="s">
        <v>968</v>
      </c>
      <c r="H293" s="241">
        <v>6</v>
      </c>
      <c r="I293" s="230"/>
      <c r="J293" s="231" t="s">
        <v>864</v>
      </c>
      <c r="K293" s="231" t="s">
        <v>55</v>
      </c>
      <c r="L293" s="232"/>
      <c r="M293" s="233" t="s">
        <v>36</v>
      </c>
      <c r="O293" s="234">
        <f>1732.24-107.03</f>
        <v>1625.21</v>
      </c>
      <c r="P293" s="235">
        <f>O293*0.5</f>
        <v>812.60500000000002</v>
      </c>
      <c r="Q293" s="230">
        <f>IF(O293&gt;0,((O293+500)-P293)+T293,0)</f>
        <v>1312.605</v>
      </c>
      <c r="R293" s="236" t="s">
        <v>969</v>
      </c>
      <c r="S293" s="236"/>
      <c r="T293" s="236">
        <f>IF(U293=$AD$2,47,IF(U293=$AD$1,ROUND(((O293+500)*0.039),0),IF(U293=$AD$3,0)))</f>
        <v>0</v>
      </c>
      <c r="U293" s="237" t="str">
        <f>IF(V293=1,$AD$2,IF(V293=2,$AD$1,IF(AND(V293&lt;&gt;1,V293&lt;&gt;20)=TRUE,$AD$3)))</f>
        <v>NONE</v>
      </c>
      <c r="V293" s="238"/>
      <c r="W293" s="239" t="s">
        <v>25</v>
      </c>
      <c r="X293" s="236">
        <f>Q293+P293</f>
        <v>2125.21</v>
      </c>
      <c r="Y293" s="236"/>
      <c r="Z293" s="236">
        <f>IF(W293=$Z$1,Q293-500,0)</f>
        <v>0</v>
      </c>
      <c r="AA293" s="236">
        <f>IF(H293&gt;0,130,0)</f>
        <v>130</v>
      </c>
      <c r="AB293" s="236"/>
      <c r="AC293" s="231">
        <f>(O293+T293)-AA293</f>
        <v>1495.21</v>
      </c>
      <c r="AD293" s="236"/>
      <c r="AE293" s="236">
        <f>IF(H293&gt;0,30*F293,0)</f>
        <v>30</v>
      </c>
      <c r="AF293" s="236">
        <f>IF(AG293&gt;0,AG164:AG293,0)</f>
        <v>1465.21</v>
      </c>
      <c r="AG293" s="236">
        <f>AC293-AE293</f>
        <v>1465.21</v>
      </c>
      <c r="AI293" s="231">
        <f>IF(S293=1,O293-T293,0)</f>
        <v>0</v>
      </c>
      <c r="AJ293" s="231">
        <f>IF(S293=2,O293-T293,0)</f>
        <v>0</v>
      </c>
      <c r="AK293" s="231">
        <f>IF(S293=3,O293-T293,0)</f>
        <v>0</v>
      </c>
      <c r="AL293" s="231">
        <f>IF(S293=4,O293-T293,0)</f>
        <v>0</v>
      </c>
      <c r="AN293" s="231">
        <f>IF(S293=1,O293-T293,0)</f>
        <v>0</v>
      </c>
      <c r="AO293" s="231">
        <f>IF(S293=2,O293-T293,0)</f>
        <v>0</v>
      </c>
      <c r="AP293" s="231">
        <f>IF(S293=3,O293-T293,0)</f>
        <v>0</v>
      </c>
      <c r="AQ293" s="231">
        <f>IF(S293=4,O293-T293,0)</f>
        <v>0</v>
      </c>
    </row>
    <row r="294" spans="2:43" s="84" customFormat="1" x14ac:dyDescent="0.3">
      <c r="B294" s="86" t="s">
        <v>936</v>
      </c>
      <c r="C294" s="84" t="s">
        <v>937</v>
      </c>
      <c r="D294" s="84" t="s">
        <v>370</v>
      </c>
      <c r="E294" s="84">
        <f>IF(D294=$B$12,H294,0)</f>
        <v>0</v>
      </c>
      <c r="F294" s="84">
        <f>IF(E294&gt;0,0,1)</f>
        <v>1</v>
      </c>
      <c r="G294" s="85" t="s">
        <v>935</v>
      </c>
      <c r="H294" s="148">
        <v>7</v>
      </c>
      <c r="I294" s="85"/>
      <c r="J294" s="84" t="s">
        <v>938</v>
      </c>
      <c r="K294" s="84" t="s">
        <v>55</v>
      </c>
      <c r="L294" s="60"/>
      <c r="M294" s="96" t="s">
        <v>36</v>
      </c>
      <c r="O294" s="107">
        <f>1080.27*2</f>
        <v>2160.54</v>
      </c>
      <c r="P294" s="113">
        <f>ROUND((O294*0.5),4)</f>
        <v>1080.27</v>
      </c>
      <c r="Q294" s="85">
        <f t="shared" si="314"/>
        <v>1580.27</v>
      </c>
      <c r="R294" s="57">
        <v>42483</v>
      </c>
      <c r="S294" s="89"/>
      <c r="T294" s="89">
        <f>IF(U294=$AD$2,47,IF(U294=$AD$1,ROUND(((O294+500)*0.039),0),IF(U294=$AD$3,0)))</f>
        <v>0</v>
      </c>
      <c r="U294" s="87" t="str">
        <f>IF(V294=1,$AD$2,IF(V294=2,$AD$1,IF(AND(V294&lt;&gt;1,V294&lt;&gt;20)=TRUE,$AD$3)))</f>
        <v>NONE</v>
      </c>
      <c r="V294" s="97"/>
      <c r="W294" s="90" t="s">
        <v>25</v>
      </c>
      <c r="X294" s="222">
        <f>Q294+P294</f>
        <v>2660.54</v>
      </c>
      <c r="Y294" s="89"/>
      <c r="Z294" s="58">
        <f>IF(W294=$Z$1,Q294-500,0)</f>
        <v>0</v>
      </c>
      <c r="AA294" s="58">
        <f>IF(H294&gt;0,130,0)</f>
        <v>130</v>
      </c>
      <c r="AB294" s="58"/>
      <c r="AC294" s="98">
        <f>(O294+T294)-AA294</f>
        <v>2030.54</v>
      </c>
      <c r="AD294" s="58"/>
      <c r="AE294" s="58">
        <f>IF(H294&gt;0,30*F294,0)</f>
        <v>30</v>
      </c>
      <c r="AF294" s="58">
        <f>IF(AG294&gt;0,AG166:AG294,0)</f>
        <v>2000.54</v>
      </c>
      <c r="AG294" s="58">
        <f>AC294-AE294</f>
        <v>2000.54</v>
      </c>
      <c r="AI294" s="84">
        <f>IF(S294=1,O294-T294,0)</f>
        <v>0</v>
      </c>
      <c r="AJ294" s="84">
        <f>IF(S294=2,O294-T294,0)</f>
        <v>0</v>
      </c>
      <c r="AK294" s="84">
        <f>IF(S294=3,O294-T294,0)</f>
        <v>0</v>
      </c>
      <c r="AL294" s="84">
        <f>IF(S294=4,O294-T294,0)</f>
        <v>0</v>
      </c>
      <c r="AN294" s="84">
        <f>IF(S294=1,O294-T294,0)</f>
        <v>0</v>
      </c>
      <c r="AO294" s="84">
        <f>IF(S294=2,O294-T294,0)</f>
        <v>0</v>
      </c>
      <c r="AP294" s="84">
        <f>IF(S294=3,O294-T294,0)</f>
        <v>0</v>
      </c>
      <c r="AQ294" s="84">
        <f>IF(S294=4,O294-T294,0)</f>
        <v>0</v>
      </c>
    </row>
    <row r="295" spans="2:43" s="84" customFormat="1" x14ac:dyDescent="0.3">
      <c r="B295" s="86" t="s">
        <v>1006</v>
      </c>
      <c r="C295" t="s">
        <v>994</v>
      </c>
      <c r="E295" s="84">
        <f>IF(D295=$B$12,H295,0)</f>
        <v>0</v>
      </c>
      <c r="F295" s="84">
        <f>IF(E295&gt;0,0,1)</f>
        <v>1</v>
      </c>
      <c r="G295" s="84" t="s">
        <v>992</v>
      </c>
      <c r="H295" s="148">
        <v>6</v>
      </c>
      <c r="I295" s="85"/>
      <c r="J295" s="84" t="s">
        <v>993</v>
      </c>
      <c r="K295" s="84" t="s">
        <v>55</v>
      </c>
      <c r="L295" s="60"/>
      <c r="M295" s="96" t="s">
        <v>36</v>
      </c>
      <c r="O295" s="107">
        <v>1877</v>
      </c>
      <c r="P295" s="113">
        <f>ROUND((O295*0.5),0)</f>
        <v>939</v>
      </c>
      <c r="Q295" s="85">
        <f>IF(O295&gt;0,((O295+500)-P295)+T295,0)</f>
        <v>1438</v>
      </c>
      <c r="R295" s="57">
        <v>42855</v>
      </c>
      <c r="S295" s="89"/>
      <c r="T295" s="89">
        <f>IF(U295=$AD$2,47,IF(U295=$AD$1,ROUND(((O295+500)*0.039),0),IF(U295=$AD$3,0)))</f>
        <v>0</v>
      </c>
      <c r="U295" s="87" t="str">
        <f>IF(V295=1,$AD$2,IF(V295=2,$AD$1,IF(AND(V295&lt;&gt;1,V295&lt;&gt;20)=TRUE,$AD$3)))</f>
        <v>NONE</v>
      </c>
      <c r="V295" s="97"/>
      <c r="W295" s="109" t="s">
        <v>25</v>
      </c>
      <c r="X295" s="89">
        <f>Q295+P295</f>
        <v>2377</v>
      </c>
      <c r="Y295" s="89"/>
      <c r="Z295" s="58">
        <f>IF(W295=$Z$1,Q295-500,0)</f>
        <v>0</v>
      </c>
      <c r="AA295" s="58">
        <f>IF(H295&gt;0,130,0)</f>
        <v>130</v>
      </c>
      <c r="AB295" s="58"/>
      <c r="AC295" s="98">
        <f>(O295+T295)-AA295</f>
        <v>1747</v>
      </c>
      <c r="AD295" s="58"/>
      <c r="AE295" s="58">
        <f>IF(H295&gt;0,30*F295,0)</f>
        <v>30</v>
      </c>
      <c r="AF295" s="58">
        <f>IF(AG295&gt;0,AG166:AG295,0)</f>
        <v>1717</v>
      </c>
      <c r="AG295" s="58">
        <f>AC295-AE295</f>
        <v>1717</v>
      </c>
      <c r="AI295" s="84">
        <f>IF(S295=1,O295-T295,0)</f>
        <v>0</v>
      </c>
      <c r="AJ295" s="84">
        <f>IF(S295=2,O295-T295,0)</f>
        <v>0</v>
      </c>
      <c r="AK295" s="84">
        <f>IF(S295=3,O295-T295,0)</f>
        <v>0</v>
      </c>
      <c r="AL295" s="84">
        <f>IF(S295=4,O295-T295,0)</f>
        <v>0</v>
      </c>
      <c r="AN295" s="84">
        <f>IF(S295=1,O295-T295,0)</f>
        <v>0</v>
      </c>
      <c r="AO295" s="84">
        <f>IF(S295=2,O295-T295,0)</f>
        <v>0</v>
      </c>
      <c r="AP295" s="84">
        <f>IF(S295=3,O295-T295,0)</f>
        <v>0</v>
      </c>
      <c r="AQ295" s="84">
        <f>IF(S295=4,O295-T295,0)</f>
        <v>0</v>
      </c>
    </row>
    <row r="296" spans="2:43" x14ac:dyDescent="0.3">
      <c r="B296" s="103" t="s">
        <v>82</v>
      </c>
      <c r="C296" s="86" t="s">
        <v>42</v>
      </c>
      <c r="D296" s="84" t="s">
        <v>42</v>
      </c>
      <c r="E296" s="85">
        <f t="shared" si="276"/>
        <v>0</v>
      </c>
      <c r="F296" s="85">
        <f t="shared" si="257"/>
        <v>1</v>
      </c>
      <c r="G296" s="85" t="s">
        <v>796</v>
      </c>
      <c r="H296" s="148">
        <v>0</v>
      </c>
      <c r="I296" s="85"/>
      <c r="J296" s="84"/>
      <c r="K296" s="84" t="s">
        <v>55</v>
      </c>
      <c r="L296" s="146"/>
      <c r="M296" s="96" t="s">
        <v>36</v>
      </c>
      <c r="N296" s="85"/>
      <c r="O296" s="107">
        <v>0</v>
      </c>
      <c r="P296" s="113">
        <f t="shared" si="258"/>
        <v>0</v>
      </c>
      <c r="Q296" s="85">
        <f t="shared" si="314"/>
        <v>0</v>
      </c>
      <c r="R296" s="57"/>
      <c r="S296" s="154"/>
      <c r="T296" s="154">
        <f t="shared" si="315"/>
        <v>0</v>
      </c>
      <c r="U296" s="87" t="str">
        <f t="shared" si="261"/>
        <v>NONE</v>
      </c>
      <c r="V296" s="97"/>
      <c r="W296" s="90"/>
      <c r="X296" s="89">
        <f t="shared" si="262"/>
        <v>0</v>
      </c>
      <c r="Y296" s="154"/>
      <c r="Z296" s="113">
        <f t="shared" si="263"/>
        <v>0</v>
      </c>
      <c r="AA296" s="113">
        <f t="shared" si="264"/>
        <v>0</v>
      </c>
      <c r="AB296" s="113"/>
      <c r="AC296" s="155">
        <f t="shared" si="265"/>
        <v>0</v>
      </c>
      <c r="AD296" s="113"/>
      <c r="AE296" s="113">
        <f t="shared" si="266"/>
        <v>0</v>
      </c>
      <c r="AF296" s="113">
        <f>IF(AG296&gt;0,AG166:AG296,0)</f>
        <v>0</v>
      </c>
      <c r="AG296" s="113">
        <f t="shared" si="287"/>
        <v>0</v>
      </c>
      <c r="AI296">
        <f t="shared" si="288"/>
        <v>0</v>
      </c>
      <c r="AJ296">
        <f t="shared" si="289"/>
        <v>0</v>
      </c>
      <c r="AK296">
        <f t="shared" si="290"/>
        <v>0</v>
      </c>
      <c r="AL296">
        <f t="shared" si="291"/>
        <v>0</v>
      </c>
      <c r="AN296">
        <f t="shared" si="292"/>
        <v>0</v>
      </c>
      <c r="AO296">
        <f t="shared" si="293"/>
        <v>0</v>
      </c>
      <c r="AP296">
        <f t="shared" si="294"/>
        <v>0</v>
      </c>
      <c r="AQ296">
        <f t="shared" si="295"/>
        <v>0</v>
      </c>
    </row>
    <row r="297" spans="2:43" s="84" customFormat="1" x14ac:dyDescent="0.3">
      <c r="B297" s="86"/>
      <c r="C297" s="86"/>
      <c r="E297" s="84">
        <f t="shared" si="276"/>
        <v>0</v>
      </c>
      <c r="F297" s="84">
        <f t="shared" si="257"/>
        <v>1</v>
      </c>
      <c r="H297" s="148">
        <v>0</v>
      </c>
      <c r="I297" s="85"/>
      <c r="K297" s="84" t="s">
        <v>55</v>
      </c>
      <c r="L297" s="60"/>
      <c r="M297" s="96" t="s">
        <v>36</v>
      </c>
      <c r="O297" s="107">
        <v>0</v>
      </c>
      <c r="P297" s="113">
        <f t="shared" si="258"/>
        <v>0</v>
      </c>
      <c r="Q297" s="85">
        <f t="shared" si="314"/>
        <v>0</v>
      </c>
      <c r="R297" s="57"/>
      <c r="S297" s="89"/>
      <c r="T297" s="89">
        <f t="shared" si="315"/>
        <v>0</v>
      </c>
      <c r="U297" s="87" t="str">
        <f t="shared" si="261"/>
        <v>NONE</v>
      </c>
      <c r="V297" s="97"/>
      <c r="W297" s="90"/>
      <c r="X297" s="89">
        <f t="shared" si="262"/>
        <v>0</v>
      </c>
      <c r="Y297" s="89"/>
      <c r="Z297" s="58">
        <f t="shared" si="263"/>
        <v>0</v>
      </c>
      <c r="AA297" s="58">
        <f t="shared" si="264"/>
        <v>0</v>
      </c>
      <c r="AB297" s="58"/>
      <c r="AC297" s="98">
        <f t="shared" si="265"/>
        <v>0</v>
      </c>
      <c r="AD297" s="58"/>
      <c r="AE297" s="58">
        <f t="shared" si="266"/>
        <v>0</v>
      </c>
      <c r="AF297" s="58">
        <f>IF(AG297&gt;0,AG168:AG297,0)</f>
        <v>0</v>
      </c>
      <c r="AG297" s="58">
        <f t="shared" si="287"/>
        <v>0</v>
      </c>
      <c r="AI297" s="84">
        <f t="shared" si="288"/>
        <v>0</v>
      </c>
      <c r="AJ297" s="84">
        <f t="shared" si="289"/>
        <v>0</v>
      </c>
      <c r="AK297" s="84">
        <f t="shared" si="290"/>
        <v>0</v>
      </c>
      <c r="AL297" s="84">
        <f t="shared" si="291"/>
        <v>0</v>
      </c>
      <c r="AN297" s="84">
        <f t="shared" si="292"/>
        <v>0</v>
      </c>
      <c r="AO297" s="84">
        <f t="shared" si="293"/>
        <v>0</v>
      </c>
      <c r="AP297" s="84">
        <f t="shared" si="294"/>
        <v>0</v>
      </c>
      <c r="AQ297" s="84">
        <f t="shared" si="295"/>
        <v>0</v>
      </c>
    </row>
    <row r="298" spans="2:43" ht="17.399999999999999" customHeight="1" x14ac:dyDescent="0.45">
      <c r="B298" s="103" t="s">
        <v>82</v>
      </c>
      <c r="C298" s="86" t="s">
        <v>42</v>
      </c>
      <c r="D298" s="84" t="s">
        <v>42</v>
      </c>
      <c r="E298" s="85">
        <f t="shared" si="276"/>
        <v>27</v>
      </c>
      <c r="F298" s="85">
        <f t="shared" si="257"/>
        <v>0</v>
      </c>
      <c r="G298" s="85" t="s">
        <v>820</v>
      </c>
      <c r="H298" s="148">
        <v>27</v>
      </c>
      <c r="I298" s="85"/>
      <c r="J298" s="84"/>
      <c r="K298" s="84" t="s">
        <v>55</v>
      </c>
      <c r="L298" s="146"/>
      <c r="M298" s="96" t="s">
        <v>36</v>
      </c>
      <c r="N298" s="85"/>
      <c r="O298" s="107">
        <v>0</v>
      </c>
      <c r="P298" s="113">
        <f>ROUND((O298*0.4),0)</f>
        <v>0</v>
      </c>
      <c r="Q298" s="85">
        <f t="shared" si="314"/>
        <v>0</v>
      </c>
      <c r="R298" s="217" t="s">
        <v>202</v>
      </c>
      <c r="S298" s="154"/>
      <c r="T298" s="154">
        <f t="shared" si="315"/>
        <v>0</v>
      </c>
      <c r="U298" s="87" t="str">
        <f t="shared" si="261"/>
        <v>NONE</v>
      </c>
      <c r="V298" s="97"/>
      <c r="W298" s="146"/>
      <c r="X298" s="89">
        <f t="shared" si="262"/>
        <v>0</v>
      </c>
      <c r="Y298" s="154"/>
      <c r="Z298" s="113">
        <f>IF(W298=$Z$1,Q298-500,0)</f>
        <v>0</v>
      </c>
      <c r="AA298" s="113">
        <f t="shared" si="264"/>
        <v>130</v>
      </c>
      <c r="AB298" s="113"/>
      <c r="AC298" s="155">
        <f t="shared" si="265"/>
        <v>-130</v>
      </c>
      <c r="AD298" s="113"/>
      <c r="AE298" s="113">
        <f t="shared" si="266"/>
        <v>0</v>
      </c>
      <c r="AF298" s="113">
        <f>IF(AG298&gt;0,AG164:AG298,0)</f>
        <v>0</v>
      </c>
      <c r="AG298" s="113">
        <f t="shared" si="287"/>
        <v>-130</v>
      </c>
      <c r="AI298">
        <f t="shared" si="288"/>
        <v>0</v>
      </c>
      <c r="AJ298">
        <f t="shared" si="289"/>
        <v>0</v>
      </c>
      <c r="AK298">
        <f t="shared" si="290"/>
        <v>0</v>
      </c>
      <c r="AL298">
        <f t="shared" si="291"/>
        <v>0</v>
      </c>
      <c r="AN298">
        <f t="shared" si="292"/>
        <v>0</v>
      </c>
      <c r="AO298">
        <f t="shared" si="293"/>
        <v>0</v>
      </c>
      <c r="AP298">
        <f t="shared" si="294"/>
        <v>0</v>
      </c>
      <c r="AQ298">
        <f t="shared" si="295"/>
        <v>0</v>
      </c>
    </row>
    <row r="299" spans="2:43" ht="16.2" customHeight="1" x14ac:dyDescent="0.3">
      <c r="B299" s="218" t="s">
        <v>821</v>
      </c>
      <c r="C299" t="s">
        <v>1027</v>
      </c>
      <c r="D299" s="84" t="s">
        <v>822</v>
      </c>
      <c r="E299" s="85">
        <f t="shared" si="276"/>
        <v>0</v>
      </c>
      <c r="F299" s="85">
        <f t="shared" si="257"/>
        <v>1</v>
      </c>
      <c r="G299" s="85" t="s">
        <v>819</v>
      </c>
      <c r="H299" s="148">
        <v>17</v>
      </c>
      <c r="I299" s="85"/>
      <c r="J299" s="84" t="s">
        <v>363</v>
      </c>
      <c r="K299" s="84" t="s">
        <v>55</v>
      </c>
      <c r="L299" s="146"/>
      <c r="M299" s="96" t="s">
        <v>36</v>
      </c>
      <c r="N299" s="85"/>
      <c r="O299" s="107">
        <v>5381</v>
      </c>
      <c r="P299" s="113">
        <v>976</v>
      </c>
      <c r="Q299" s="85">
        <v>3429</v>
      </c>
      <c r="R299" s="245" t="s">
        <v>1003</v>
      </c>
      <c r="S299" s="154"/>
      <c r="T299" s="154">
        <f t="shared" si="315"/>
        <v>0</v>
      </c>
      <c r="U299" s="87" t="str">
        <f t="shared" si="261"/>
        <v>NONE</v>
      </c>
      <c r="V299" s="97"/>
      <c r="W299" s="146" t="s">
        <v>25</v>
      </c>
      <c r="X299" s="89">
        <f t="shared" si="262"/>
        <v>4405</v>
      </c>
      <c r="Y299" s="154"/>
      <c r="Z299" s="113">
        <f t="shared" si="263"/>
        <v>0</v>
      </c>
      <c r="AA299" s="113">
        <f t="shared" si="264"/>
        <v>130</v>
      </c>
      <c r="AB299" s="113"/>
      <c r="AC299" s="155">
        <f t="shared" si="265"/>
        <v>5251</v>
      </c>
      <c r="AD299" s="113"/>
      <c r="AE299" s="113">
        <f t="shared" si="266"/>
        <v>30</v>
      </c>
      <c r="AF299" s="113">
        <f>IF(AG299&gt;0,AG166:AG299,0)</f>
        <v>5221</v>
      </c>
      <c r="AG299" s="113">
        <f t="shared" si="287"/>
        <v>5221</v>
      </c>
      <c r="AI299">
        <f t="shared" si="288"/>
        <v>0</v>
      </c>
      <c r="AJ299">
        <f t="shared" si="289"/>
        <v>0</v>
      </c>
      <c r="AK299">
        <f t="shared" si="290"/>
        <v>0</v>
      </c>
      <c r="AL299">
        <f t="shared" si="291"/>
        <v>0</v>
      </c>
      <c r="AN299">
        <f t="shared" si="292"/>
        <v>0</v>
      </c>
      <c r="AO299">
        <f t="shared" si="293"/>
        <v>0</v>
      </c>
      <c r="AP299">
        <f t="shared" si="294"/>
        <v>0</v>
      </c>
      <c r="AQ299">
        <f t="shared" si="295"/>
        <v>0</v>
      </c>
    </row>
    <row r="300" spans="2:43" x14ac:dyDescent="0.3">
      <c r="B300" s="147" t="s">
        <v>1038</v>
      </c>
      <c r="C300" s="84" t="s">
        <v>60</v>
      </c>
      <c r="D300" s="84"/>
      <c r="E300" s="85">
        <f t="shared" si="276"/>
        <v>0</v>
      </c>
      <c r="F300" s="85">
        <f t="shared" si="257"/>
        <v>1</v>
      </c>
      <c r="G300" s="148" t="s">
        <v>1004</v>
      </c>
      <c r="H300" s="148">
        <v>9</v>
      </c>
      <c r="I300" s="85"/>
      <c r="J300" s="84" t="s">
        <v>913</v>
      </c>
      <c r="K300" s="84" t="s">
        <v>55</v>
      </c>
      <c r="L300" s="146"/>
      <c r="M300" s="96" t="s">
        <v>36</v>
      </c>
      <c r="N300" s="85"/>
      <c r="O300" s="107">
        <v>1956</v>
      </c>
      <c r="P300" s="113">
        <v>500</v>
      </c>
      <c r="Q300" s="85">
        <v>2356</v>
      </c>
      <c r="R300" s="170">
        <v>42544</v>
      </c>
      <c r="S300" s="154"/>
      <c r="T300" s="154">
        <f t="shared" si="315"/>
        <v>0</v>
      </c>
      <c r="U300" s="87" t="str">
        <f t="shared" si="261"/>
        <v>NONE</v>
      </c>
      <c r="V300" s="97"/>
      <c r="W300" s="109" t="s">
        <v>1005</v>
      </c>
      <c r="X300" s="89">
        <f t="shared" si="262"/>
        <v>2856</v>
      </c>
      <c r="Y300" s="154"/>
      <c r="Z300" s="113">
        <f t="shared" si="263"/>
        <v>0</v>
      </c>
      <c r="AA300" s="113">
        <f t="shared" si="264"/>
        <v>130</v>
      </c>
      <c r="AB300" s="113"/>
      <c r="AC300" s="155">
        <f t="shared" si="265"/>
        <v>1826</v>
      </c>
      <c r="AD300" s="113"/>
      <c r="AE300" s="113">
        <f t="shared" si="266"/>
        <v>30</v>
      </c>
      <c r="AF300" s="113">
        <f>IF(AG300&gt;0,AG166:AG310,0)</f>
        <v>1796</v>
      </c>
      <c r="AG300" s="113">
        <f t="shared" si="287"/>
        <v>1796</v>
      </c>
      <c r="AI300">
        <f t="shared" si="288"/>
        <v>0</v>
      </c>
      <c r="AJ300">
        <f t="shared" si="289"/>
        <v>0</v>
      </c>
      <c r="AK300">
        <f t="shared" si="290"/>
        <v>0</v>
      </c>
      <c r="AL300">
        <f t="shared" si="291"/>
        <v>0</v>
      </c>
      <c r="AN300">
        <f t="shared" si="292"/>
        <v>0</v>
      </c>
      <c r="AO300">
        <f t="shared" si="293"/>
        <v>0</v>
      </c>
      <c r="AP300">
        <f t="shared" si="294"/>
        <v>0</v>
      </c>
      <c r="AQ300">
        <f t="shared" si="295"/>
        <v>0</v>
      </c>
    </row>
    <row r="301" spans="2:43" ht="13.2" customHeight="1" x14ac:dyDescent="0.3">
      <c r="B301" s="103" t="s">
        <v>82</v>
      </c>
      <c r="C301" s="86" t="s">
        <v>42</v>
      </c>
      <c r="D301" s="84" t="s">
        <v>42</v>
      </c>
      <c r="E301" s="85">
        <f t="shared" si="276"/>
        <v>3</v>
      </c>
      <c r="F301" s="85">
        <f t="shared" si="257"/>
        <v>0</v>
      </c>
      <c r="G301" s="148" t="s">
        <v>794</v>
      </c>
      <c r="H301" s="148">
        <v>3</v>
      </c>
      <c r="I301" s="85"/>
      <c r="J301" s="84"/>
      <c r="K301" s="84" t="s">
        <v>55</v>
      </c>
      <c r="L301" s="146"/>
      <c r="M301" s="96" t="s">
        <v>36</v>
      </c>
      <c r="N301" s="85"/>
      <c r="O301" s="107">
        <v>0</v>
      </c>
      <c r="P301" s="113">
        <f t="shared" si="258"/>
        <v>0</v>
      </c>
      <c r="Q301" s="85">
        <f t="shared" si="314"/>
        <v>0</v>
      </c>
      <c r="R301" s="57"/>
      <c r="S301" s="154"/>
      <c r="T301" s="154">
        <f t="shared" si="315"/>
        <v>0</v>
      </c>
      <c r="U301" s="87" t="str">
        <f t="shared" si="261"/>
        <v>NONE</v>
      </c>
      <c r="V301" s="97"/>
      <c r="W301" s="146"/>
      <c r="X301" s="89">
        <f t="shared" si="262"/>
        <v>0</v>
      </c>
      <c r="Y301" s="154"/>
      <c r="Z301" s="113">
        <f t="shared" si="263"/>
        <v>0</v>
      </c>
      <c r="AA301" s="113">
        <f t="shared" si="264"/>
        <v>130</v>
      </c>
      <c r="AB301" s="113"/>
      <c r="AC301" s="155">
        <f t="shared" si="265"/>
        <v>-130</v>
      </c>
      <c r="AD301" s="113"/>
      <c r="AE301" s="113">
        <f t="shared" si="266"/>
        <v>0</v>
      </c>
      <c r="AF301" s="113">
        <f>IF(AG301&gt;0,AG169:AG301,0)</f>
        <v>0</v>
      </c>
      <c r="AG301" s="113">
        <f t="shared" si="287"/>
        <v>-130</v>
      </c>
      <c r="AI301">
        <f t="shared" si="288"/>
        <v>0</v>
      </c>
      <c r="AJ301">
        <f t="shared" si="289"/>
        <v>0</v>
      </c>
      <c r="AK301">
        <f t="shared" si="290"/>
        <v>0</v>
      </c>
      <c r="AL301">
        <f t="shared" si="291"/>
        <v>0</v>
      </c>
      <c r="AN301">
        <f t="shared" si="292"/>
        <v>0</v>
      </c>
      <c r="AO301">
        <f t="shared" si="293"/>
        <v>0</v>
      </c>
      <c r="AP301">
        <f t="shared" si="294"/>
        <v>0</v>
      </c>
      <c r="AQ301">
        <f t="shared" si="295"/>
        <v>0</v>
      </c>
    </row>
    <row r="302" spans="2:43" s="84" customFormat="1" x14ac:dyDescent="0.3">
      <c r="B302" s="86"/>
      <c r="E302" s="84">
        <f t="shared" si="276"/>
        <v>0</v>
      </c>
      <c r="F302" s="84">
        <f t="shared" si="257"/>
        <v>1</v>
      </c>
      <c r="H302" s="148">
        <v>0</v>
      </c>
      <c r="I302" s="85"/>
      <c r="K302" s="84" t="s">
        <v>55</v>
      </c>
      <c r="L302" s="109"/>
      <c r="M302" s="96" t="s">
        <v>36</v>
      </c>
      <c r="O302" s="107">
        <v>0</v>
      </c>
      <c r="P302" s="113">
        <f t="shared" si="258"/>
        <v>0</v>
      </c>
      <c r="Q302" s="85">
        <f t="shared" ref="Q302:Q316" si="316">IF(O302&gt;0,((O302+500)-P302)+T302,0)</f>
        <v>0</v>
      </c>
      <c r="R302" s="57"/>
      <c r="S302" s="89"/>
      <c r="T302" s="89">
        <f t="shared" si="315"/>
        <v>0</v>
      </c>
      <c r="U302" s="87" t="str">
        <f t="shared" si="261"/>
        <v>NONE</v>
      </c>
      <c r="V302" s="97"/>
      <c r="W302" s="90"/>
      <c r="X302" s="89">
        <f t="shared" si="262"/>
        <v>0</v>
      </c>
      <c r="Y302" s="89"/>
      <c r="Z302" s="58">
        <f t="shared" si="263"/>
        <v>0</v>
      </c>
      <c r="AA302" s="58">
        <f t="shared" si="264"/>
        <v>0</v>
      </c>
      <c r="AB302" s="58"/>
      <c r="AC302" s="98">
        <f t="shared" si="265"/>
        <v>0</v>
      </c>
      <c r="AD302" s="58"/>
      <c r="AE302" s="58">
        <f t="shared" si="266"/>
        <v>0</v>
      </c>
      <c r="AF302" s="58">
        <f>IF(AG302&gt;0,AG169:AG302,0)</f>
        <v>0</v>
      </c>
      <c r="AG302" s="58">
        <f t="shared" si="287"/>
        <v>0</v>
      </c>
      <c r="AI302" s="84">
        <f t="shared" si="288"/>
        <v>0</v>
      </c>
      <c r="AJ302" s="84">
        <f t="shared" si="289"/>
        <v>0</v>
      </c>
      <c r="AK302" s="84">
        <f t="shared" si="290"/>
        <v>0</v>
      </c>
      <c r="AL302" s="84">
        <f t="shared" si="291"/>
        <v>0</v>
      </c>
      <c r="AN302" s="84">
        <f t="shared" si="292"/>
        <v>0</v>
      </c>
      <c r="AO302" s="84">
        <f t="shared" si="293"/>
        <v>0</v>
      </c>
      <c r="AP302" s="84">
        <f t="shared" si="294"/>
        <v>0</v>
      </c>
      <c r="AQ302" s="84">
        <f t="shared" si="295"/>
        <v>0</v>
      </c>
    </row>
    <row r="303" spans="2:43" x14ac:dyDescent="0.3">
      <c r="B303" s="86"/>
      <c r="C303" s="86"/>
      <c r="D303" s="84"/>
      <c r="E303" s="85">
        <f t="shared" si="276"/>
        <v>0</v>
      </c>
      <c r="F303" s="85">
        <f t="shared" si="257"/>
        <v>1</v>
      </c>
      <c r="G303" s="84"/>
      <c r="H303" s="148">
        <v>0</v>
      </c>
      <c r="I303" s="85"/>
      <c r="J303" s="84"/>
      <c r="K303" s="84" t="s">
        <v>55</v>
      </c>
      <c r="L303" s="146"/>
      <c r="M303" s="96" t="s">
        <v>36</v>
      </c>
      <c r="N303" s="85"/>
      <c r="O303" s="107">
        <v>0</v>
      </c>
      <c r="P303" s="113">
        <f t="shared" si="258"/>
        <v>0</v>
      </c>
      <c r="Q303" s="85">
        <f t="shared" si="316"/>
        <v>0</v>
      </c>
      <c r="R303" s="57"/>
      <c r="S303" s="154"/>
      <c r="T303" s="154">
        <f t="shared" si="315"/>
        <v>0</v>
      </c>
      <c r="U303" s="87" t="str">
        <f t="shared" si="261"/>
        <v>NONE</v>
      </c>
      <c r="V303" s="97"/>
      <c r="W303" s="146"/>
      <c r="X303" s="89">
        <f t="shared" si="262"/>
        <v>0</v>
      </c>
      <c r="Y303" s="154"/>
      <c r="Z303" s="113">
        <f t="shared" si="263"/>
        <v>0</v>
      </c>
      <c r="AA303" s="113">
        <f t="shared" si="264"/>
        <v>0</v>
      </c>
      <c r="AB303" s="113"/>
      <c r="AC303" s="155">
        <f t="shared" si="265"/>
        <v>0</v>
      </c>
      <c r="AD303" s="113"/>
      <c r="AE303" s="113">
        <f t="shared" si="266"/>
        <v>0</v>
      </c>
      <c r="AF303" s="113">
        <f>IF(AG303&gt;0,AG170:AG303,0)</f>
        <v>0</v>
      </c>
      <c r="AG303" s="113">
        <f t="shared" si="287"/>
        <v>0</v>
      </c>
      <c r="AI303">
        <f t="shared" si="288"/>
        <v>0</v>
      </c>
      <c r="AJ303">
        <f t="shared" si="289"/>
        <v>0</v>
      </c>
      <c r="AK303">
        <f t="shared" si="290"/>
        <v>0</v>
      </c>
      <c r="AL303">
        <f t="shared" si="291"/>
        <v>0</v>
      </c>
      <c r="AN303">
        <f t="shared" si="292"/>
        <v>0</v>
      </c>
      <c r="AO303">
        <f t="shared" si="293"/>
        <v>0</v>
      </c>
      <c r="AP303">
        <f t="shared" si="294"/>
        <v>0</v>
      </c>
      <c r="AQ303">
        <f t="shared" si="295"/>
        <v>0</v>
      </c>
    </row>
    <row r="304" spans="2:43" x14ac:dyDescent="0.3">
      <c r="B304" s="103" t="s">
        <v>82</v>
      </c>
      <c r="C304" s="84"/>
      <c r="D304" s="84" t="s">
        <v>42</v>
      </c>
      <c r="E304" s="85">
        <v>4</v>
      </c>
      <c r="F304" s="85">
        <v>0</v>
      </c>
      <c r="G304" s="84" t="s">
        <v>954</v>
      </c>
      <c r="H304" s="148">
        <v>4</v>
      </c>
      <c r="I304" s="85"/>
      <c r="J304" s="84"/>
      <c r="K304" s="84" t="s">
        <v>55</v>
      </c>
      <c r="L304" s="146"/>
      <c r="M304" s="96" t="s">
        <v>36</v>
      </c>
      <c r="N304" s="85"/>
      <c r="O304" s="107">
        <v>0</v>
      </c>
      <c r="P304" s="113">
        <f t="shared" si="258"/>
        <v>0</v>
      </c>
      <c r="Q304" s="85">
        <f t="shared" si="316"/>
        <v>0</v>
      </c>
      <c r="R304" s="57"/>
      <c r="S304" s="154"/>
      <c r="T304" s="154">
        <f t="shared" ref="T304:T316" si="317">IF(U304=$AD$2,47,IF(U304=$AD$1,ROUND(((O304+500)*0.039),0),IF(U304=$AD$3,0)))</f>
        <v>0</v>
      </c>
      <c r="U304" s="87" t="str">
        <f t="shared" ref="U304:U316" si="318">IF(V304=1,$AD$2,IF(V304=2,$AD$1,IF(AND(V304&lt;&gt;1,V304&lt;&gt;20)=TRUE,$AD$3)))</f>
        <v>NONE</v>
      </c>
      <c r="V304" s="97"/>
      <c r="W304" s="90"/>
      <c r="X304" s="89">
        <f t="shared" si="262"/>
        <v>0</v>
      </c>
      <c r="Y304" s="154"/>
      <c r="Z304" s="113">
        <f t="shared" ref="Z304:Z316" si="319">IF(W304=$Z$1,Q304-500,0)</f>
        <v>0</v>
      </c>
      <c r="AA304" s="113">
        <f t="shared" ref="AA304:AA316" si="320">IF(H304&gt;0,130,0)</f>
        <v>130</v>
      </c>
      <c r="AB304" s="113"/>
      <c r="AC304" s="155">
        <f t="shared" ref="AC304:AC316" si="321">(O304+T304)-AA304</f>
        <v>-130</v>
      </c>
      <c r="AD304" s="113"/>
      <c r="AE304" s="113">
        <f t="shared" ref="AE304:AE316" si="322">IF(H304&gt;0,30*F304,0)</f>
        <v>0</v>
      </c>
      <c r="AF304" s="113">
        <f>IF(AG304&gt;0,AG169:AG310,0)</f>
        <v>0</v>
      </c>
      <c r="AG304" s="113">
        <f t="shared" ref="AG304:AG316" si="323">AC304-AE304</f>
        <v>-130</v>
      </c>
      <c r="AI304">
        <f t="shared" ref="AI304:AI316" si="324">IF(S304=1,O304-T304,0)</f>
        <v>0</v>
      </c>
      <c r="AJ304">
        <f t="shared" ref="AJ304:AJ316" si="325">IF(S304=2,O304-T304,0)</f>
        <v>0</v>
      </c>
      <c r="AK304">
        <f t="shared" ref="AK304:AK316" si="326">IF(S304=3,O304-T304,0)</f>
        <v>0</v>
      </c>
      <c r="AL304">
        <f t="shared" ref="AL304:AL316" si="327">IF(S304=4,O304-T304,0)</f>
        <v>0</v>
      </c>
      <c r="AN304">
        <f t="shared" ref="AN304:AN316" si="328">IF(S304=1,O304-T304,0)</f>
        <v>0</v>
      </c>
      <c r="AO304">
        <f t="shared" ref="AO304:AO316" si="329">IF(S304=2,O304-T304,0)</f>
        <v>0</v>
      </c>
      <c r="AP304">
        <f t="shared" ref="AP304:AP316" si="330">IF(S304=3,O304-T304,0)</f>
        <v>0</v>
      </c>
      <c r="AQ304">
        <f t="shared" ref="AQ304:AQ316" si="331">IF(S304=4,O304-T304,0)</f>
        <v>0</v>
      </c>
    </row>
    <row r="305" spans="1:44" x14ac:dyDescent="0.3">
      <c r="B305" s="86" t="s">
        <v>1021</v>
      </c>
      <c r="C305" s="229" t="s">
        <v>1020</v>
      </c>
      <c r="D305" s="84" t="s">
        <v>616</v>
      </c>
      <c r="E305" s="85">
        <f t="shared" ref="E305:E315" si="332">IF(D305=$B$12,H305,0)</f>
        <v>0</v>
      </c>
      <c r="F305" s="85">
        <f t="shared" ref="F305:F315" si="333">IF(E305&gt;0,0,1)</f>
        <v>1</v>
      </c>
      <c r="G305" s="115" t="s">
        <v>1051</v>
      </c>
      <c r="H305" s="148">
        <v>7</v>
      </c>
      <c r="I305" s="85"/>
      <c r="J305" s="84" t="s">
        <v>777</v>
      </c>
      <c r="K305" s="84" t="s">
        <v>55</v>
      </c>
      <c r="L305" s="146"/>
      <c r="M305" s="96" t="s">
        <v>36</v>
      </c>
      <c r="N305" s="85"/>
      <c r="O305" s="107">
        <f>2323.16-142</f>
        <v>2181.16</v>
      </c>
      <c r="P305" s="113">
        <v>2181.16</v>
      </c>
      <c r="Q305" s="85">
        <v>0</v>
      </c>
      <c r="R305" s="243" t="s">
        <v>1022</v>
      </c>
      <c r="S305" s="154"/>
      <c r="T305" s="154">
        <f t="shared" si="317"/>
        <v>0</v>
      </c>
      <c r="U305" s="87" t="str">
        <f t="shared" si="318"/>
        <v>NONE</v>
      </c>
      <c r="V305" s="97"/>
      <c r="W305" s="90" t="s">
        <v>25</v>
      </c>
      <c r="X305" s="89">
        <f t="shared" si="262"/>
        <v>2181.16</v>
      </c>
      <c r="Y305" s="154"/>
      <c r="Z305" s="113">
        <f t="shared" si="319"/>
        <v>0</v>
      </c>
      <c r="AA305" s="113">
        <f t="shared" si="320"/>
        <v>130</v>
      </c>
      <c r="AB305" s="113"/>
      <c r="AC305" s="155">
        <f t="shared" si="321"/>
        <v>2051.16</v>
      </c>
      <c r="AD305" s="113"/>
      <c r="AE305" s="113">
        <f t="shared" si="322"/>
        <v>30</v>
      </c>
      <c r="AF305" s="113">
        <f>IF(AG305&gt;0,AG171:AG305,0)</f>
        <v>2021.1599999999999</v>
      </c>
      <c r="AG305" s="113">
        <f t="shared" si="323"/>
        <v>2021.1599999999999</v>
      </c>
      <c r="AI305">
        <f t="shared" si="324"/>
        <v>0</v>
      </c>
      <c r="AJ305">
        <f t="shared" si="325"/>
        <v>0</v>
      </c>
      <c r="AK305">
        <f t="shared" si="326"/>
        <v>0</v>
      </c>
      <c r="AL305">
        <f t="shared" si="327"/>
        <v>0</v>
      </c>
      <c r="AN305">
        <f t="shared" si="328"/>
        <v>0</v>
      </c>
      <c r="AO305">
        <f t="shared" si="329"/>
        <v>0</v>
      </c>
      <c r="AP305">
        <f t="shared" si="330"/>
        <v>0</v>
      </c>
      <c r="AQ305">
        <f t="shared" si="331"/>
        <v>0</v>
      </c>
    </row>
    <row r="306" spans="1:44" x14ac:dyDescent="0.3">
      <c r="B306" s="84" t="s">
        <v>1034</v>
      </c>
      <c r="C306" s="229" t="s">
        <v>1035</v>
      </c>
      <c r="D306" s="84"/>
      <c r="E306" s="85"/>
      <c r="F306" s="85"/>
      <c r="G306" s="85" t="s">
        <v>1033</v>
      </c>
      <c r="H306" s="148">
        <v>0</v>
      </c>
      <c r="I306" s="85"/>
      <c r="J306" s="84" t="s">
        <v>777</v>
      </c>
      <c r="K306" s="84" t="s">
        <v>55</v>
      </c>
      <c r="L306" s="146"/>
      <c r="M306" s="96" t="s">
        <v>36</v>
      </c>
      <c r="N306" s="85"/>
      <c r="O306" s="107">
        <v>1488.53</v>
      </c>
      <c r="P306" s="113">
        <v>744.27</v>
      </c>
      <c r="Q306" s="85">
        <f t="shared" ref="Q306" si="334">IF(O306&gt;0,((O306+500)-P306)+T306,0)</f>
        <v>1244.26</v>
      </c>
      <c r="R306" s="243" t="s">
        <v>1022</v>
      </c>
      <c r="S306" s="154"/>
      <c r="T306" s="154">
        <f t="shared" ref="T306" si="335">IF(U306=$AD$2,47,IF(U306=$AD$1,ROUND(((O306+500)*0.039),0),IF(U306=$AD$3,0)))</f>
        <v>0</v>
      </c>
      <c r="U306" s="87" t="str">
        <f t="shared" ref="U306" si="336">IF(V306=1,$AD$2,IF(V306=2,$AD$1,IF(AND(V306&lt;&gt;1,V306&lt;&gt;20)=TRUE,$AD$3)))</f>
        <v>NONE</v>
      </c>
      <c r="V306" s="97"/>
      <c r="W306" s="90" t="s">
        <v>25</v>
      </c>
      <c r="X306" s="89">
        <f t="shared" ref="X306" si="337">Q306+P306</f>
        <v>1988.53</v>
      </c>
      <c r="Y306" s="154"/>
      <c r="Z306" s="113">
        <f t="shared" ref="Z306" si="338">IF(W306=$Z$1,Q306-500,0)</f>
        <v>0</v>
      </c>
      <c r="AA306" s="113">
        <f t="shared" ref="AA306" si="339">IF(H306&gt;0,130,0)</f>
        <v>0</v>
      </c>
      <c r="AB306" s="113"/>
      <c r="AC306" s="155">
        <f t="shared" ref="AC306" si="340">(O306+T306)-AA306</f>
        <v>1488.53</v>
      </c>
      <c r="AD306" s="113"/>
      <c r="AE306" s="113">
        <f t="shared" ref="AE306" si="341">IF(H306&gt;0,30*F306,0)</f>
        <v>0</v>
      </c>
      <c r="AF306" s="113">
        <f>IF(AG306&gt;0,AG169:AG306,0)</f>
        <v>1488.53</v>
      </c>
      <c r="AG306" s="113">
        <f t="shared" ref="AG306" si="342">AC306-AE306</f>
        <v>1488.53</v>
      </c>
      <c r="AI306">
        <f t="shared" ref="AI306" si="343">IF(S306=1,O306-T306,0)</f>
        <v>0</v>
      </c>
      <c r="AJ306">
        <f t="shared" ref="AJ306" si="344">IF(S306=2,O306-T306,0)</f>
        <v>0</v>
      </c>
      <c r="AK306">
        <f t="shared" ref="AK306" si="345">IF(S306=3,O306-T306,0)</f>
        <v>0</v>
      </c>
      <c r="AL306">
        <f t="shared" ref="AL306" si="346">IF(S306=4,O306-T306,0)</f>
        <v>0</v>
      </c>
      <c r="AN306">
        <f t="shared" ref="AN306" si="347">IF(S306=1,O306-T306,0)</f>
        <v>0</v>
      </c>
      <c r="AO306">
        <f t="shared" ref="AO306" si="348">IF(S306=2,O306-T306,0)</f>
        <v>0</v>
      </c>
      <c r="AP306">
        <f t="shared" ref="AP306" si="349">IF(S306=3,O306-T306,0)</f>
        <v>0</v>
      </c>
      <c r="AQ306">
        <f t="shared" ref="AQ306" si="350">IF(S306=4,O306-T306,0)</f>
        <v>0</v>
      </c>
    </row>
    <row r="307" spans="1:44" x14ac:dyDescent="0.3">
      <c r="B307" s="111" t="s">
        <v>956</v>
      </c>
      <c r="C307" s="99" t="s">
        <v>929</v>
      </c>
      <c r="D307" s="84" t="s">
        <v>930</v>
      </c>
      <c r="E307" s="85">
        <v>0</v>
      </c>
      <c r="F307" s="85">
        <v>1</v>
      </c>
      <c r="G307" s="148" t="s">
        <v>957</v>
      </c>
      <c r="H307" s="148">
        <v>7</v>
      </c>
      <c r="I307" s="85"/>
      <c r="J307" s="84" t="s">
        <v>777</v>
      </c>
      <c r="K307" s="84" t="s">
        <v>55</v>
      </c>
      <c r="L307" s="146"/>
      <c r="M307" s="96" t="s">
        <v>36</v>
      </c>
      <c r="N307" s="85"/>
      <c r="O307" s="107">
        <v>1694</v>
      </c>
      <c r="P307" s="113">
        <v>500</v>
      </c>
      <c r="Q307" s="85">
        <f t="shared" si="316"/>
        <v>1694</v>
      </c>
      <c r="R307" s="57">
        <v>42917</v>
      </c>
      <c r="S307" s="154"/>
      <c r="T307" s="154">
        <f t="shared" si="317"/>
        <v>0</v>
      </c>
      <c r="U307" s="87" t="str">
        <f t="shared" si="318"/>
        <v>NONE</v>
      </c>
      <c r="V307" s="97"/>
      <c r="W307" s="260" t="s">
        <v>25</v>
      </c>
      <c r="X307" s="89">
        <f t="shared" si="262"/>
        <v>2194</v>
      </c>
      <c r="Y307" s="154"/>
      <c r="Z307" s="113">
        <f t="shared" si="319"/>
        <v>0</v>
      </c>
      <c r="AA307" s="113">
        <f t="shared" si="320"/>
        <v>130</v>
      </c>
      <c r="AB307" s="113"/>
      <c r="AC307" s="155">
        <f t="shared" si="321"/>
        <v>1564</v>
      </c>
      <c r="AD307" s="113"/>
      <c r="AE307" s="113">
        <f t="shared" si="322"/>
        <v>30</v>
      </c>
      <c r="AF307" s="113">
        <f>IF(AG307&gt;0,AG169:AG307,0)</f>
        <v>1534</v>
      </c>
      <c r="AG307" s="113">
        <f t="shared" si="323"/>
        <v>1534</v>
      </c>
      <c r="AI307">
        <f t="shared" si="324"/>
        <v>0</v>
      </c>
      <c r="AJ307">
        <f t="shared" si="325"/>
        <v>0</v>
      </c>
      <c r="AK307">
        <f t="shared" si="326"/>
        <v>0</v>
      </c>
      <c r="AL307">
        <f t="shared" si="327"/>
        <v>0</v>
      </c>
      <c r="AN307">
        <f t="shared" si="328"/>
        <v>0</v>
      </c>
      <c r="AO307">
        <f t="shared" si="329"/>
        <v>0</v>
      </c>
      <c r="AP307">
        <f t="shared" si="330"/>
        <v>0</v>
      </c>
      <c r="AQ307">
        <f t="shared" si="331"/>
        <v>0</v>
      </c>
    </row>
    <row r="308" spans="1:44" x14ac:dyDescent="0.3">
      <c r="B308" s="86" t="s">
        <v>989</v>
      </c>
      <c r="C308" s="99" t="s">
        <v>1039</v>
      </c>
      <c r="D308" s="148" t="s">
        <v>370</v>
      </c>
      <c r="E308" s="148">
        <f t="shared" si="332"/>
        <v>0</v>
      </c>
      <c r="F308" s="148">
        <f t="shared" si="333"/>
        <v>1</v>
      </c>
      <c r="G308" s="148" t="s">
        <v>990</v>
      </c>
      <c r="H308" s="148">
        <v>9</v>
      </c>
      <c r="I308" s="85"/>
      <c r="J308" s="84" t="s">
        <v>991</v>
      </c>
      <c r="K308" s="84" t="s">
        <v>55</v>
      </c>
      <c r="L308" s="146"/>
      <c r="M308" s="96" t="s">
        <v>36</v>
      </c>
      <c r="N308" s="85"/>
      <c r="O308" s="107">
        <f>1648.11+1148.11-500</f>
        <v>2296.2199999999998</v>
      </c>
      <c r="P308" s="113">
        <v>1148.1099999999999</v>
      </c>
      <c r="Q308" s="85">
        <f>IF(O308&gt;0,((O308+500)-P308)+T308,0)</f>
        <v>1648.11</v>
      </c>
      <c r="R308" s="170">
        <v>42983</v>
      </c>
      <c r="S308" s="154"/>
      <c r="T308" s="154">
        <f t="shared" si="317"/>
        <v>0</v>
      </c>
      <c r="U308" s="87" t="str">
        <f t="shared" si="318"/>
        <v>NONE</v>
      </c>
      <c r="V308" s="97"/>
      <c r="W308" s="146" t="s">
        <v>25</v>
      </c>
      <c r="X308" s="89">
        <f t="shared" si="262"/>
        <v>2796.22</v>
      </c>
      <c r="Y308" s="154"/>
      <c r="Z308" s="113">
        <f t="shared" si="319"/>
        <v>0</v>
      </c>
      <c r="AA308" s="113">
        <f t="shared" si="320"/>
        <v>130</v>
      </c>
      <c r="AB308" s="113"/>
      <c r="AC308" s="155">
        <f t="shared" si="321"/>
        <v>2166.2199999999998</v>
      </c>
      <c r="AD308" s="113"/>
      <c r="AE308" s="113">
        <f t="shared" si="322"/>
        <v>30</v>
      </c>
      <c r="AF308" s="113">
        <f>IF(AG308&gt;0,AG171:AG312,0)</f>
        <v>2136.2199999999998</v>
      </c>
      <c r="AG308" s="113">
        <f t="shared" si="323"/>
        <v>2136.2199999999998</v>
      </c>
      <c r="AI308">
        <f t="shared" si="324"/>
        <v>0</v>
      </c>
      <c r="AJ308">
        <f t="shared" si="325"/>
        <v>0</v>
      </c>
      <c r="AK308">
        <f t="shared" si="326"/>
        <v>0</v>
      </c>
      <c r="AL308">
        <f t="shared" si="327"/>
        <v>0</v>
      </c>
      <c r="AN308">
        <f t="shared" si="328"/>
        <v>0</v>
      </c>
      <c r="AO308">
        <f t="shared" si="329"/>
        <v>0</v>
      </c>
      <c r="AP308">
        <f t="shared" si="330"/>
        <v>0</v>
      </c>
      <c r="AQ308">
        <f t="shared" si="331"/>
        <v>0</v>
      </c>
    </row>
    <row r="309" spans="1:44" x14ac:dyDescent="0.3">
      <c r="B309" s="103" t="s">
        <v>82</v>
      </c>
      <c r="C309" s="86" t="s">
        <v>42</v>
      </c>
      <c r="D309" s="84" t="s">
        <v>42</v>
      </c>
      <c r="E309" s="85">
        <v>4</v>
      </c>
      <c r="F309" s="85">
        <v>0</v>
      </c>
      <c r="G309" s="115" t="s">
        <v>1007</v>
      </c>
      <c r="H309" s="148">
        <v>5</v>
      </c>
      <c r="I309" s="85"/>
      <c r="J309" s="84"/>
      <c r="K309" s="84" t="s">
        <v>55</v>
      </c>
      <c r="L309" s="146"/>
      <c r="M309" s="96" t="s">
        <v>36</v>
      </c>
      <c r="N309" s="85"/>
      <c r="O309" s="107">
        <v>0</v>
      </c>
      <c r="P309" s="113">
        <f t="shared" si="258"/>
        <v>0</v>
      </c>
      <c r="Q309" s="85">
        <f t="shared" si="316"/>
        <v>0</v>
      </c>
      <c r="R309" s="57"/>
      <c r="S309" s="154"/>
      <c r="T309" s="154">
        <f t="shared" si="317"/>
        <v>0</v>
      </c>
      <c r="U309" s="87" t="str">
        <f t="shared" si="318"/>
        <v>NONE</v>
      </c>
      <c r="V309" s="97"/>
      <c r="W309" s="146"/>
      <c r="X309" s="89">
        <f t="shared" si="262"/>
        <v>0</v>
      </c>
      <c r="Y309" s="154"/>
      <c r="Z309" s="113">
        <f t="shared" si="319"/>
        <v>0</v>
      </c>
      <c r="AA309" s="113">
        <f t="shared" si="320"/>
        <v>130</v>
      </c>
      <c r="AB309" s="113"/>
      <c r="AC309" s="155">
        <f t="shared" si="321"/>
        <v>-130</v>
      </c>
      <c r="AD309" s="113"/>
      <c r="AE309" s="113">
        <f t="shared" si="322"/>
        <v>0</v>
      </c>
      <c r="AF309" s="113">
        <f>IF(AG309&gt;0,AG172:AG309,0)</f>
        <v>0</v>
      </c>
      <c r="AG309" s="113">
        <f t="shared" si="323"/>
        <v>-130</v>
      </c>
      <c r="AI309">
        <f t="shared" si="324"/>
        <v>0</v>
      </c>
      <c r="AJ309">
        <f t="shared" si="325"/>
        <v>0</v>
      </c>
      <c r="AK309">
        <f t="shared" si="326"/>
        <v>0</v>
      </c>
      <c r="AL309">
        <f t="shared" si="327"/>
        <v>0</v>
      </c>
      <c r="AN309">
        <f t="shared" si="328"/>
        <v>0</v>
      </c>
      <c r="AO309">
        <f t="shared" si="329"/>
        <v>0</v>
      </c>
      <c r="AP309">
        <f t="shared" si="330"/>
        <v>0</v>
      </c>
      <c r="AQ309">
        <f t="shared" si="331"/>
        <v>0</v>
      </c>
    </row>
    <row r="310" spans="1:44" x14ac:dyDescent="0.3">
      <c r="B310" s="84"/>
      <c r="C310" s="84"/>
      <c r="D310" s="84"/>
      <c r="E310" s="85"/>
      <c r="F310" s="85"/>
      <c r="G310" s="85"/>
      <c r="H310" s="148">
        <v>0</v>
      </c>
      <c r="I310" s="85"/>
      <c r="J310" s="84"/>
      <c r="K310" s="84" t="s">
        <v>55</v>
      </c>
      <c r="L310" s="146"/>
      <c r="M310" s="96" t="s">
        <v>36</v>
      </c>
      <c r="N310" s="85"/>
      <c r="O310" s="107">
        <v>0</v>
      </c>
      <c r="P310" s="113">
        <f t="shared" si="258"/>
        <v>0</v>
      </c>
      <c r="Q310" s="85">
        <f t="shared" si="316"/>
        <v>0</v>
      </c>
      <c r="R310" s="57"/>
      <c r="S310" s="154"/>
      <c r="T310" s="154">
        <f t="shared" si="317"/>
        <v>0</v>
      </c>
      <c r="U310" s="87" t="str">
        <f t="shared" si="318"/>
        <v>NONE</v>
      </c>
      <c r="V310" s="97"/>
      <c r="W310" s="90"/>
      <c r="X310" s="89">
        <f t="shared" si="262"/>
        <v>0</v>
      </c>
      <c r="Y310" s="154"/>
      <c r="Z310" s="113">
        <f t="shared" si="319"/>
        <v>0</v>
      </c>
      <c r="AA310" s="113">
        <f t="shared" si="320"/>
        <v>0</v>
      </c>
      <c r="AB310" s="113"/>
      <c r="AC310" s="155">
        <f t="shared" si="321"/>
        <v>0</v>
      </c>
      <c r="AD310" s="113"/>
      <c r="AE310" s="113">
        <f t="shared" si="322"/>
        <v>0</v>
      </c>
      <c r="AF310" s="113">
        <f>IF(AG310&gt;0,AG173:AG310,0)</f>
        <v>0</v>
      </c>
      <c r="AG310" s="113">
        <f t="shared" si="323"/>
        <v>0</v>
      </c>
      <c r="AI310">
        <f t="shared" si="324"/>
        <v>0</v>
      </c>
      <c r="AJ310">
        <f t="shared" si="325"/>
        <v>0</v>
      </c>
      <c r="AK310">
        <f t="shared" si="326"/>
        <v>0</v>
      </c>
      <c r="AL310">
        <f t="shared" si="327"/>
        <v>0</v>
      </c>
      <c r="AN310">
        <f t="shared" si="328"/>
        <v>0</v>
      </c>
      <c r="AO310">
        <f t="shared" si="329"/>
        <v>0</v>
      </c>
      <c r="AP310">
        <f t="shared" si="330"/>
        <v>0</v>
      </c>
      <c r="AQ310">
        <f t="shared" si="331"/>
        <v>0</v>
      </c>
    </row>
    <row r="311" spans="1:44" x14ac:dyDescent="0.3">
      <c r="B311" s="86"/>
      <c r="C311" s="84"/>
      <c r="D311" s="85"/>
      <c r="E311" s="84">
        <f t="shared" si="332"/>
        <v>0</v>
      </c>
      <c r="F311" s="84">
        <f t="shared" si="333"/>
        <v>1</v>
      </c>
      <c r="G311" s="148"/>
      <c r="H311" s="148">
        <v>0</v>
      </c>
      <c r="I311" s="85"/>
      <c r="J311" s="84"/>
      <c r="K311" s="84" t="s">
        <v>55</v>
      </c>
      <c r="L311" s="90"/>
      <c r="M311" s="96" t="s">
        <v>36</v>
      </c>
      <c r="N311" s="84"/>
      <c r="O311" s="107">
        <v>0</v>
      </c>
      <c r="P311" s="113">
        <f t="shared" si="258"/>
        <v>0</v>
      </c>
      <c r="Q311" s="85">
        <f t="shared" si="316"/>
        <v>0</v>
      </c>
      <c r="R311" s="57"/>
      <c r="S311" s="89"/>
      <c r="T311" s="89">
        <f t="shared" si="317"/>
        <v>0</v>
      </c>
      <c r="U311" s="87" t="str">
        <f t="shared" si="318"/>
        <v>NONE</v>
      </c>
      <c r="V311" s="97"/>
      <c r="W311" s="90"/>
      <c r="X311" s="89">
        <f t="shared" si="262"/>
        <v>0</v>
      </c>
      <c r="Y311" s="89"/>
      <c r="Z311" s="58">
        <f t="shared" si="319"/>
        <v>0</v>
      </c>
      <c r="AA311" s="58">
        <f t="shared" si="320"/>
        <v>0</v>
      </c>
      <c r="AB311" s="58"/>
      <c r="AC311" s="98">
        <f t="shared" si="321"/>
        <v>0</v>
      </c>
      <c r="AD311" s="58"/>
      <c r="AE311" s="58">
        <f t="shared" si="322"/>
        <v>0</v>
      </c>
      <c r="AF311" s="58">
        <f>IF(AG311&gt;0,AG179:AG311,0)</f>
        <v>0</v>
      </c>
      <c r="AG311" s="58">
        <f t="shared" si="323"/>
        <v>0</v>
      </c>
      <c r="AI311">
        <f t="shared" si="324"/>
        <v>0</v>
      </c>
      <c r="AJ311">
        <f t="shared" si="325"/>
        <v>0</v>
      </c>
      <c r="AK311">
        <f t="shared" si="326"/>
        <v>0</v>
      </c>
      <c r="AL311">
        <f t="shared" si="327"/>
        <v>0</v>
      </c>
      <c r="AN311">
        <f t="shared" si="328"/>
        <v>0</v>
      </c>
      <c r="AO311">
        <f t="shared" si="329"/>
        <v>0</v>
      </c>
      <c r="AP311">
        <f t="shared" si="330"/>
        <v>0</v>
      </c>
      <c r="AQ311">
        <f t="shared" si="331"/>
        <v>0</v>
      </c>
    </row>
    <row r="312" spans="1:44" x14ac:dyDescent="0.3">
      <c r="B312" s="86"/>
      <c r="C312" s="86"/>
      <c r="D312" s="84"/>
      <c r="E312" s="84">
        <f t="shared" si="332"/>
        <v>0</v>
      </c>
      <c r="F312" s="84">
        <f t="shared" si="333"/>
        <v>1</v>
      </c>
      <c r="G312" s="84"/>
      <c r="H312" s="148">
        <v>0</v>
      </c>
      <c r="I312" s="85"/>
      <c r="J312" s="84"/>
      <c r="K312" s="84" t="s">
        <v>55</v>
      </c>
      <c r="L312" s="90"/>
      <c r="M312" s="96" t="s">
        <v>36</v>
      </c>
      <c r="N312" s="84"/>
      <c r="O312" s="107">
        <v>0</v>
      </c>
      <c r="P312" s="113">
        <f t="shared" si="258"/>
        <v>0</v>
      </c>
      <c r="Q312" s="85">
        <f t="shared" si="316"/>
        <v>0</v>
      </c>
      <c r="R312" s="57"/>
      <c r="S312" s="89"/>
      <c r="T312" s="89">
        <f t="shared" si="317"/>
        <v>0</v>
      </c>
      <c r="U312" s="87" t="str">
        <f t="shared" si="318"/>
        <v>NONE</v>
      </c>
      <c r="V312" s="97"/>
      <c r="W312" s="90"/>
      <c r="X312" s="89">
        <f t="shared" si="262"/>
        <v>0</v>
      </c>
      <c r="Y312" s="89"/>
      <c r="Z312" s="58">
        <f t="shared" si="319"/>
        <v>0</v>
      </c>
      <c r="AA312" s="58">
        <f t="shared" si="320"/>
        <v>0</v>
      </c>
      <c r="AB312" s="58"/>
      <c r="AC312" s="98">
        <f t="shared" si="321"/>
        <v>0</v>
      </c>
      <c r="AD312" s="58"/>
      <c r="AE312" s="58">
        <f t="shared" si="322"/>
        <v>0</v>
      </c>
      <c r="AF312" s="58">
        <f>IF(AG312&gt;0,AG180:AG312,0)</f>
        <v>0</v>
      </c>
      <c r="AG312" s="58">
        <f t="shared" si="323"/>
        <v>0</v>
      </c>
      <c r="AI312">
        <f t="shared" si="324"/>
        <v>0</v>
      </c>
      <c r="AJ312">
        <f t="shared" si="325"/>
        <v>0</v>
      </c>
      <c r="AK312">
        <f t="shared" si="326"/>
        <v>0</v>
      </c>
      <c r="AL312">
        <f t="shared" si="327"/>
        <v>0</v>
      </c>
      <c r="AN312">
        <f t="shared" si="328"/>
        <v>0</v>
      </c>
      <c r="AO312">
        <f t="shared" si="329"/>
        <v>0</v>
      </c>
      <c r="AP312">
        <f t="shared" si="330"/>
        <v>0</v>
      </c>
      <c r="AQ312">
        <f t="shared" si="331"/>
        <v>0</v>
      </c>
    </row>
    <row r="313" spans="1:44" x14ac:dyDescent="0.3">
      <c r="B313" s="86" t="s">
        <v>980</v>
      </c>
      <c r="C313" s="84" t="s">
        <v>839</v>
      </c>
      <c r="D313" s="85" t="s">
        <v>370</v>
      </c>
      <c r="E313" s="84">
        <v>0</v>
      </c>
      <c r="F313" s="84">
        <v>1</v>
      </c>
      <c r="G313" s="85" t="s">
        <v>982</v>
      </c>
      <c r="H313" s="148">
        <v>14</v>
      </c>
      <c r="I313" s="85"/>
      <c r="J313" s="84" t="s">
        <v>526</v>
      </c>
      <c r="K313" s="84" t="s">
        <v>55</v>
      </c>
      <c r="L313" s="90"/>
      <c r="M313" s="96" t="s">
        <v>36</v>
      </c>
      <c r="N313" s="84"/>
      <c r="O313" s="107">
        <v>3500</v>
      </c>
      <c r="P313" s="113">
        <f>ROUND((O313*0.4),0)</f>
        <v>1400</v>
      </c>
      <c r="Q313" s="85">
        <f>IF(O313&gt;0,((O313+500)-P313)+T313,0)</f>
        <v>2600</v>
      </c>
      <c r="R313" s="57" t="s">
        <v>983</v>
      </c>
      <c r="S313" s="89"/>
      <c r="T313" s="89">
        <f t="shared" si="317"/>
        <v>0</v>
      </c>
      <c r="U313" s="87" t="str">
        <f t="shared" si="318"/>
        <v>NONE</v>
      </c>
      <c r="V313" s="97"/>
      <c r="W313" s="90" t="s">
        <v>1068</v>
      </c>
      <c r="X313" s="89">
        <f t="shared" si="262"/>
        <v>4000</v>
      </c>
      <c r="Y313" s="89"/>
      <c r="Z313" s="58">
        <f t="shared" si="319"/>
        <v>0</v>
      </c>
      <c r="AA313" s="58">
        <f t="shared" si="320"/>
        <v>130</v>
      </c>
      <c r="AB313" s="58"/>
      <c r="AC313" s="98">
        <f t="shared" si="321"/>
        <v>3370</v>
      </c>
      <c r="AD313" s="58"/>
      <c r="AE313" s="58">
        <f t="shared" si="322"/>
        <v>30</v>
      </c>
      <c r="AF313" s="58">
        <f>IF(AG313&gt;0,AG179:AG313,0)</f>
        <v>3340</v>
      </c>
      <c r="AG313" s="58">
        <f t="shared" si="323"/>
        <v>3340</v>
      </c>
      <c r="AI313">
        <f t="shared" si="324"/>
        <v>0</v>
      </c>
      <c r="AJ313">
        <f t="shared" si="325"/>
        <v>0</v>
      </c>
      <c r="AK313">
        <f t="shared" si="326"/>
        <v>0</v>
      </c>
      <c r="AL313">
        <f t="shared" si="327"/>
        <v>0</v>
      </c>
      <c r="AN313">
        <f t="shared" si="328"/>
        <v>0</v>
      </c>
      <c r="AO313">
        <f t="shared" si="329"/>
        <v>0</v>
      </c>
      <c r="AP313">
        <f t="shared" si="330"/>
        <v>0</v>
      </c>
      <c r="AQ313">
        <f t="shared" si="331"/>
        <v>0</v>
      </c>
    </row>
    <row r="314" spans="1:44" x14ac:dyDescent="0.3">
      <c r="B314" s="86" t="s">
        <v>1024</v>
      </c>
      <c r="C314" t="s">
        <v>1025</v>
      </c>
      <c r="D314" s="84"/>
      <c r="E314" s="84">
        <f t="shared" si="332"/>
        <v>0</v>
      </c>
      <c r="F314" s="84">
        <f t="shared" si="333"/>
        <v>1</v>
      </c>
      <c r="G314" s="148" t="s">
        <v>1023</v>
      </c>
      <c r="H314" s="148">
        <v>8</v>
      </c>
      <c r="I314" s="85"/>
      <c r="J314" s="84" t="s">
        <v>1026</v>
      </c>
      <c r="K314" s="84" t="s">
        <v>55</v>
      </c>
      <c r="L314" s="90"/>
      <c r="M314" s="96" t="s">
        <v>36</v>
      </c>
      <c r="N314" s="84"/>
      <c r="O314" s="107">
        <v>1875.79</v>
      </c>
      <c r="P314" s="113">
        <v>937.9</v>
      </c>
      <c r="Q314" s="85">
        <f t="shared" si="316"/>
        <v>1437.8899999999999</v>
      </c>
      <c r="R314" s="57">
        <v>43018</v>
      </c>
      <c r="S314" s="89"/>
      <c r="T314" s="89">
        <f t="shared" si="317"/>
        <v>0</v>
      </c>
      <c r="U314" s="87" t="str">
        <f t="shared" si="318"/>
        <v>NONE</v>
      </c>
      <c r="V314" s="97"/>
      <c r="W314" s="194" t="s">
        <v>958</v>
      </c>
      <c r="X314" s="89">
        <f t="shared" si="262"/>
        <v>2375.79</v>
      </c>
      <c r="Y314" s="89"/>
      <c r="Z314" s="58">
        <f t="shared" si="319"/>
        <v>0</v>
      </c>
      <c r="AA314" s="58">
        <f t="shared" si="320"/>
        <v>130</v>
      </c>
      <c r="AB314" s="58"/>
      <c r="AC314" s="98">
        <f t="shared" si="321"/>
        <v>1745.79</v>
      </c>
      <c r="AD314" s="58"/>
      <c r="AE314" s="58">
        <f t="shared" si="322"/>
        <v>30</v>
      </c>
      <c r="AF314" s="58">
        <f>IF(AG314&gt;0,AG181:AG314,0)</f>
        <v>1715.79</v>
      </c>
      <c r="AG314" s="58">
        <f t="shared" si="323"/>
        <v>1715.79</v>
      </c>
      <c r="AI314">
        <f t="shared" si="324"/>
        <v>0</v>
      </c>
      <c r="AJ314">
        <f t="shared" si="325"/>
        <v>0</v>
      </c>
      <c r="AK314">
        <f t="shared" si="326"/>
        <v>0</v>
      </c>
      <c r="AL314">
        <f t="shared" si="327"/>
        <v>0</v>
      </c>
      <c r="AN314">
        <f t="shared" si="328"/>
        <v>0</v>
      </c>
      <c r="AO314">
        <f t="shared" si="329"/>
        <v>0</v>
      </c>
      <c r="AP314">
        <f t="shared" si="330"/>
        <v>0</v>
      </c>
      <c r="AQ314">
        <f t="shared" si="331"/>
        <v>0</v>
      </c>
    </row>
    <row r="315" spans="1:44" x14ac:dyDescent="0.3">
      <c r="B315" s="86"/>
      <c r="C315" s="86"/>
      <c r="D315" s="85"/>
      <c r="E315" s="84">
        <f t="shared" si="332"/>
        <v>0</v>
      </c>
      <c r="F315" s="84">
        <f t="shared" si="333"/>
        <v>1</v>
      </c>
      <c r="G315" s="85"/>
      <c r="H315" s="148">
        <v>0</v>
      </c>
      <c r="I315" s="85"/>
      <c r="J315" s="84"/>
      <c r="K315" s="84" t="s">
        <v>55</v>
      </c>
      <c r="L315" s="90"/>
      <c r="M315" s="96" t="s">
        <v>36</v>
      </c>
      <c r="N315" s="84"/>
      <c r="O315" s="107">
        <v>0</v>
      </c>
      <c r="P315" s="113">
        <f t="shared" si="258"/>
        <v>0</v>
      </c>
      <c r="Q315" s="85">
        <f t="shared" si="316"/>
        <v>0</v>
      </c>
      <c r="R315" s="57"/>
      <c r="S315" s="89"/>
      <c r="T315" s="89">
        <f t="shared" si="317"/>
        <v>0</v>
      </c>
      <c r="U315" s="87" t="str">
        <f t="shared" si="318"/>
        <v>NONE</v>
      </c>
      <c r="V315" s="97"/>
      <c r="W315" s="90"/>
      <c r="X315" s="89">
        <f t="shared" si="262"/>
        <v>0</v>
      </c>
      <c r="Y315" s="89"/>
      <c r="Z315" s="58">
        <f t="shared" si="319"/>
        <v>0</v>
      </c>
      <c r="AA315" s="58">
        <f t="shared" si="320"/>
        <v>0</v>
      </c>
      <c r="AB315" s="58"/>
      <c r="AC315" s="98">
        <f t="shared" si="321"/>
        <v>0</v>
      </c>
      <c r="AD315" s="58"/>
      <c r="AE315" s="58">
        <f t="shared" si="322"/>
        <v>0</v>
      </c>
      <c r="AF315" s="58">
        <f>IF(AG315&gt;0,AG181:AG315,0)</f>
        <v>0</v>
      </c>
      <c r="AG315" s="58">
        <f t="shared" si="323"/>
        <v>0</v>
      </c>
      <c r="AI315">
        <f t="shared" si="324"/>
        <v>0</v>
      </c>
      <c r="AJ315">
        <f t="shared" si="325"/>
        <v>0</v>
      </c>
      <c r="AK315">
        <f t="shared" si="326"/>
        <v>0</v>
      </c>
      <c r="AL315">
        <f t="shared" si="327"/>
        <v>0</v>
      </c>
      <c r="AN315">
        <f t="shared" si="328"/>
        <v>0</v>
      </c>
      <c r="AO315">
        <f t="shared" si="329"/>
        <v>0</v>
      </c>
      <c r="AP315">
        <f t="shared" si="330"/>
        <v>0</v>
      </c>
      <c r="AQ315">
        <f t="shared" si="331"/>
        <v>0</v>
      </c>
    </row>
    <row r="316" spans="1:44" x14ac:dyDescent="0.3">
      <c r="B316" s="84" t="s">
        <v>82</v>
      </c>
      <c r="C316" s="84" t="s">
        <v>967</v>
      </c>
      <c r="D316" s="84" t="s">
        <v>42</v>
      </c>
      <c r="E316" s="85">
        <f t="shared" ref="E316" si="351">IF(D316=$B$12,H316,0)</f>
        <v>13</v>
      </c>
      <c r="F316" s="85">
        <f t="shared" ref="F316" si="352">IF(E316&gt;0,0,1)</f>
        <v>0</v>
      </c>
      <c r="G316" s="85" t="s">
        <v>965</v>
      </c>
      <c r="H316" s="148">
        <v>13</v>
      </c>
      <c r="I316" s="85"/>
      <c r="J316" s="84"/>
      <c r="K316" s="84"/>
      <c r="L316" s="90"/>
      <c r="M316" s="96" t="s">
        <v>36</v>
      </c>
      <c r="N316" s="84"/>
      <c r="O316" s="107">
        <v>0</v>
      </c>
      <c r="P316" s="113">
        <f t="shared" si="258"/>
        <v>0</v>
      </c>
      <c r="Q316" s="85">
        <f t="shared" si="316"/>
        <v>0</v>
      </c>
      <c r="R316" s="57"/>
      <c r="S316" s="89"/>
      <c r="T316" s="89">
        <f t="shared" si="317"/>
        <v>0</v>
      </c>
      <c r="U316" s="87" t="str">
        <f t="shared" si="318"/>
        <v>NONE</v>
      </c>
      <c r="V316" s="97"/>
      <c r="W316" s="90"/>
      <c r="X316" s="89">
        <f t="shared" si="262"/>
        <v>0</v>
      </c>
      <c r="Y316" s="89"/>
      <c r="Z316" s="58">
        <f t="shared" si="319"/>
        <v>0</v>
      </c>
      <c r="AA316" s="58">
        <f t="shared" si="320"/>
        <v>130</v>
      </c>
      <c r="AB316" s="58"/>
      <c r="AC316" s="98">
        <f t="shared" si="321"/>
        <v>-130</v>
      </c>
      <c r="AD316" s="58"/>
      <c r="AE316" s="58">
        <f t="shared" si="322"/>
        <v>0</v>
      </c>
      <c r="AF316" s="58">
        <f>IF(AG316&gt;0,AG180:AG316,0)</f>
        <v>0</v>
      </c>
      <c r="AG316" s="58">
        <f t="shared" si="323"/>
        <v>-130</v>
      </c>
      <c r="AI316">
        <f t="shared" si="324"/>
        <v>0</v>
      </c>
      <c r="AJ316">
        <f t="shared" si="325"/>
        <v>0</v>
      </c>
      <c r="AK316">
        <f t="shared" si="326"/>
        <v>0</v>
      </c>
      <c r="AL316">
        <f t="shared" si="327"/>
        <v>0</v>
      </c>
      <c r="AN316">
        <f t="shared" si="328"/>
        <v>0</v>
      </c>
      <c r="AO316">
        <f t="shared" si="329"/>
        <v>0</v>
      </c>
      <c r="AP316">
        <f t="shared" si="330"/>
        <v>0</v>
      </c>
      <c r="AQ316">
        <f t="shared" si="331"/>
        <v>0</v>
      </c>
    </row>
    <row r="317" spans="1:44" x14ac:dyDescent="0.3">
      <c r="A317" s="45"/>
      <c r="B317" s="192">
        <f>COUNTIFS(D$275:D316,"&lt;&gt;NA")-COUNTIFS(D$275:D316,"="&amp;D1)</f>
        <v>16</v>
      </c>
      <c r="C317" s="174" t="s">
        <v>472</v>
      </c>
      <c r="D317" s="46">
        <f>SUM(E275:E316)</f>
        <v>77</v>
      </c>
      <c r="E317" s="46"/>
      <c r="F317" s="46"/>
      <c r="G317" s="63" t="s">
        <v>215</v>
      </c>
      <c r="H317" s="62">
        <f>SUM(H275:H316)-SUM(E275:E316)</f>
        <v>193</v>
      </c>
      <c r="I317" s="62"/>
      <c r="J317" s="61">
        <f>ROUND(H317/7,0)</f>
        <v>28</v>
      </c>
      <c r="K317" s="61" t="s">
        <v>214</v>
      </c>
      <c r="L317" s="63" t="s">
        <v>216</v>
      </c>
      <c r="M317" s="151">
        <f>ROUND(AF317/J317,0)</f>
        <v>1855</v>
      </c>
      <c r="N317" s="45"/>
      <c r="O317" s="82">
        <f>SUM(O275:O316)</f>
        <v>54897.409999999996</v>
      </c>
      <c r="P317" s="49"/>
      <c r="Q317" s="80">
        <f>Z317</f>
        <v>0</v>
      </c>
      <c r="R317" s="79" t="s">
        <v>254</v>
      </c>
      <c r="S317" s="126"/>
      <c r="T317" s="73"/>
      <c r="U317" s="48"/>
      <c r="V317" s="48"/>
      <c r="W317" s="47"/>
      <c r="X317" s="49"/>
      <c r="Y317" s="49">
        <f>Z317</f>
        <v>0</v>
      </c>
      <c r="Z317" s="49">
        <f>SUM(Z275:Z316)</f>
        <v>0</v>
      </c>
      <c r="AA317" s="49">
        <f>SUM(AA275:AA316)</f>
        <v>3900</v>
      </c>
      <c r="AB317" s="49">
        <f>AA317</f>
        <v>3900</v>
      </c>
      <c r="AC317" s="45"/>
      <c r="AD317" s="49"/>
      <c r="AE317" s="49">
        <f>SUM(AE275:AE316)</f>
        <v>600</v>
      </c>
      <c r="AF317" s="49">
        <f>SUM(AF275:AF316)</f>
        <v>51950.409999999996</v>
      </c>
      <c r="AG317" s="82">
        <f>SUM(AG275:AG316)</f>
        <v>50650.409999999996</v>
      </c>
      <c r="AH317" s="45">
        <f>AG317</f>
        <v>50650.409999999996</v>
      </c>
      <c r="AI317" s="129">
        <f>SUM(AI275:AI316)</f>
        <v>0</v>
      </c>
      <c r="AJ317" s="129">
        <f>SUM(AJ275:AJ316)</f>
        <v>0</v>
      </c>
      <c r="AK317" s="129">
        <f>SUM(AK275:AK316)</f>
        <v>0</v>
      </c>
      <c r="AL317" s="129">
        <f>SUM(AL275:AL316)</f>
        <v>0</v>
      </c>
      <c r="AM317" s="131">
        <f>SUM(AI317:AL317)</f>
        <v>0</v>
      </c>
      <c r="AN317" s="129">
        <f>SUM(AN275:AN316)</f>
        <v>0</v>
      </c>
      <c r="AO317" s="129">
        <f>SUM(AO275:AO316)</f>
        <v>0</v>
      </c>
      <c r="AP317" s="129">
        <f>SUM(AP275:AP316)</f>
        <v>0</v>
      </c>
      <c r="AQ317" s="129">
        <f>SUM(AQ275:AQ316)</f>
        <v>0</v>
      </c>
      <c r="AR317" s="131">
        <f>SUM(AN317:AQ317)</f>
        <v>0</v>
      </c>
    </row>
    <row r="318" spans="1:44" s="84" customFormat="1" ht="21" customHeight="1" x14ac:dyDescent="0.45">
      <c r="A318" s="130"/>
      <c r="B318" s="150">
        <v>2018</v>
      </c>
      <c r="C318" s="133"/>
      <c r="D318" s="132"/>
      <c r="E318" s="132"/>
      <c r="F318" s="132"/>
      <c r="G318" s="134"/>
      <c r="H318" s="135"/>
      <c r="I318" s="135"/>
      <c r="J318" s="136"/>
      <c r="K318" s="136"/>
      <c r="L318" s="134"/>
      <c r="M318" s="137"/>
      <c r="N318" s="130"/>
      <c r="O318" s="138"/>
      <c r="P318" s="139"/>
      <c r="Q318" s="140"/>
      <c r="R318" s="141"/>
      <c r="S318" s="142"/>
      <c r="T318" s="143"/>
      <c r="U318" s="144"/>
      <c r="V318" s="144"/>
      <c r="W318" s="145"/>
      <c r="X318" s="139"/>
      <c r="Y318" s="139"/>
      <c r="Z318" s="139"/>
      <c r="AA318" s="139"/>
      <c r="AB318" s="139"/>
      <c r="AC318" s="130"/>
      <c r="AD318" s="139"/>
      <c r="AE318" s="139"/>
      <c r="AF318" s="139"/>
      <c r="AG318" s="138"/>
      <c r="AH318" s="130"/>
      <c r="AI318" s="119">
        <f>ROUNDUP(AI317*0.04,0)</f>
        <v>0</v>
      </c>
      <c r="AJ318" s="119">
        <f>ROUNDUP(AJ317*0.04,0)</f>
        <v>0</v>
      </c>
      <c r="AK318" s="119">
        <f>ROUNDUP(AK317*0.04,0)</f>
        <v>0</v>
      </c>
      <c r="AL318" s="119">
        <f>ROUNDUP(AL317*0.04,0)</f>
        <v>0</v>
      </c>
      <c r="AM318" s="131">
        <f>SUM(AI318:AL318)</f>
        <v>0</v>
      </c>
      <c r="AN318" s="119">
        <f>ROUNDUP(AN317*0.06,0)</f>
        <v>0</v>
      </c>
      <c r="AO318" s="119">
        <f>ROUNDUP(AO317*0.06,0)</f>
        <v>0</v>
      </c>
      <c r="AP318" s="119">
        <f>ROUNDUP(AP317*0.06,0)</f>
        <v>0</v>
      </c>
      <c r="AQ318" s="119">
        <f>ROUNDUP(AQ317*0.06,0)</f>
        <v>0</v>
      </c>
      <c r="AR318" s="131">
        <f>SUM(AN318:AQ318)</f>
        <v>0</v>
      </c>
    </row>
    <row r="319" spans="1:44" s="84" customFormat="1" x14ac:dyDescent="0.3">
      <c r="B319" s="86" t="s">
        <v>1062</v>
      </c>
      <c r="C319" s="229" t="s">
        <v>1061</v>
      </c>
      <c r="D319" s="84" t="s">
        <v>370</v>
      </c>
      <c r="E319" s="84">
        <f>IF(D319=$B$12,H319,0)</f>
        <v>0</v>
      </c>
      <c r="F319" s="84">
        <f t="shared" ref="F319" si="353">IF(E319&gt;0,0,1)</f>
        <v>1</v>
      </c>
      <c r="G319" s="84" t="s">
        <v>1060</v>
      </c>
      <c r="H319" s="148">
        <v>5</v>
      </c>
      <c r="I319" s="85"/>
      <c r="J319" s="84" t="s">
        <v>1063</v>
      </c>
      <c r="L319" s="90"/>
      <c r="M319" s="96" t="s">
        <v>36</v>
      </c>
      <c r="O319" s="107">
        <f>2687.83-500</f>
        <v>2187.83</v>
      </c>
      <c r="P319" s="113">
        <f>ROUND((O319*0),0)</f>
        <v>0</v>
      </c>
      <c r="Q319" s="84">
        <f t="shared" ref="Q319:Q361" si="354">IF(O319&gt;0,((O319+500)-P319)+T319,0)</f>
        <v>2687.83</v>
      </c>
      <c r="R319" s="57"/>
      <c r="S319" s="89"/>
      <c r="T319" s="89">
        <f t="shared" ref="T319:T331" si="355">IF(U319=$AD$2,47,IF(U319=$AD$1,ROUND(((O319+500)*0.039),0),IF(U319=$AD$3,0)))</f>
        <v>0</v>
      </c>
      <c r="U319" s="87" t="str">
        <f t="shared" ref="U319:U325" si="356">IF(V319=1,$AD$2,IF(V319=2,$AD$1,IF(AND(V319&lt;&gt;1,V319&lt;&gt;20)=TRUE,$AD$3)))</f>
        <v>NONE</v>
      </c>
      <c r="V319" s="97"/>
      <c r="W319" s="148" t="s">
        <v>25</v>
      </c>
      <c r="X319" s="89">
        <f>Q319+P319</f>
        <v>2687.83</v>
      </c>
      <c r="Y319" s="89"/>
      <c r="Z319" s="58">
        <f t="shared" ref="Z319:Z325" si="357">IF(W319=$Z$1,Q319-500,0)</f>
        <v>0</v>
      </c>
      <c r="AA319" s="58">
        <f t="shared" ref="AA319:AA325" si="358">IF(H319&gt;0,130,0)</f>
        <v>130</v>
      </c>
      <c r="AB319" s="58"/>
      <c r="AC319" s="98">
        <f t="shared" ref="AC319:AC325" si="359">(O319+T319)-AA319</f>
        <v>2057.83</v>
      </c>
      <c r="AD319" s="58"/>
      <c r="AE319" s="58">
        <f t="shared" ref="AE319:AE325" si="360">IF(H319&gt;0,30*F319,0)</f>
        <v>30</v>
      </c>
      <c r="AF319" s="58">
        <f>IF(AG319&gt;0,AG208:AG319,0)</f>
        <v>2027.83</v>
      </c>
      <c r="AG319" s="58">
        <f t="shared" ref="AG319:AG324" si="361">AC319-AE319</f>
        <v>2027.83</v>
      </c>
      <c r="AI319">
        <f t="shared" ref="AI319:AI324" si="362">IF(S319=1,O319-T319,0)</f>
        <v>0</v>
      </c>
      <c r="AJ319">
        <f t="shared" ref="AJ319:AJ324" si="363">IF(S319=2,O319-T319,0)</f>
        <v>0</v>
      </c>
      <c r="AK319">
        <f t="shared" ref="AK319:AK324" si="364">IF(S319=3,O319-T319,0)</f>
        <v>0</v>
      </c>
      <c r="AL319">
        <f t="shared" ref="AL319:AL324" si="365">IF(S319=4,O319-T319,0)</f>
        <v>0</v>
      </c>
      <c r="AM319"/>
      <c r="AN319">
        <f t="shared" ref="AN319:AN324" si="366">IF(S319=1,O319-T319,0)</f>
        <v>0</v>
      </c>
      <c r="AO319">
        <f t="shared" ref="AO319:AO324" si="367">IF(S319=2,O319-T319,0)</f>
        <v>0</v>
      </c>
      <c r="AP319">
        <f t="shared" ref="AP319:AP324" si="368">IF(S319=3,O319-T319,0)</f>
        <v>0</v>
      </c>
      <c r="AQ319">
        <f t="shared" ref="AQ319:AQ324" si="369">IF(S319=4,O319-T319,0)</f>
        <v>0</v>
      </c>
    </row>
    <row r="320" spans="1:44" ht="15.6" x14ac:dyDescent="0.3">
      <c r="B320" s="228" t="s">
        <v>1065</v>
      </c>
      <c r="C320" s="99" t="s">
        <v>1064</v>
      </c>
      <c r="D320" s="84" t="s">
        <v>370</v>
      </c>
      <c r="E320" s="84">
        <f t="shared" ref="E320:E361" si="370">IF(D320=$B$12,H320,0)</f>
        <v>0</v>
      </c>
      <c r="F320" s="85"/>
      <c r="G320" s="85" t="s">
        <v>1066</v>
      </c>
      <c r="H320" s="148">
        <v>5</v>
      </c>
      <c r="I320" s="85"/>
      <c r="J320" s="84" t="s">
        <v>1067</v>
      </c>
      <c r="K320" s="84"/>
      <c r="L320" s="90"/>
      <c r="M320" s="96" t="s">
        <v>36</v>
      </c>
      <c r="N320" s="85"/>
      <c r="O320" s="107">
        <v>2417.63</v>
      </c>
      <c r="P320" s="113">
        <f>ROUND((O320*0),0)</f>
        <v>0</v>
      </c>
      <c r="Q320" s="84">
        <f t="shared" si="354"/>
        <v>2917.63</v>
      </c>
      <c r="R320" s="57"/>
      <c r="S320" s="154"/>
      <c r="T320" s="154">
        <f t="shared" si="355"/>
        <v>0</v>
      </c>
      <c r="U320" s="87" t="str">
        <f t="shared" si="356"/>
        <v>NONE</v>
      </c>
      <c r="V320" s="97"/>
      <c r="W320" s="90" t="s">
        <v>1079</v>
      </c>
      <c r="X320" s="89">
        <f t="shared" ref="X320:X361" si="371">Q320+P320</f>
        <v>2917.63</v>
      </c>
      <c r="Y320" s="154"/>
      <c r="Z320" s="113">
        <f t="shared" si="357"/>
        <v>0</v>
      </c>
      <c r="AA320" s="113">
        <f t="shared" si="358"/>
        <v>130</v>
      </c>
      <c r="AB320" s="113"/>
      <c r="AC320" s="155">
        <f t="shared" si="359"/>
        <v>2287.63</v>
      </c>
      <c r="AD320" s="113"/>
      <c r="AE320" s="113">
        <f t="shared" si="360"/>
        <v>0</v>
      </c>
      <c r="AF320" s="113">
        <f>IF(AG320&gt;0,AG192:AG320,0)</f>
        <v>2287.63</v>
      </c>
      <c r="AG320" s="113">
        <f t="shared" si="361"/>
        <v>2287.63</v>
      </c>
      <c r="AI320">
        <f t="shared" si="362"/>
        <v>0</v>
      </c>
      <c r="AJ320">
        <f t="shared" si="363"/>
        <v>0</v>
      </c>
      <c r="AK320">
        <f t="shared" si="364"/>
        <v>0</v>
      </c>
      <c r="AL320">
        <f t="shared" si="365"/>
        <v>0</v>
      </c>
      <c r="AN320">
        <f t="shared" si="366"/>
        <v>0</v>
      </c>
      <c r="AO320">
        <f t="shared" si="367"/>
        <v>0</v>
      </c>
      <c r="AP320">
        <f t="shared" si="368"/>
        <v>0</v>
      </c>
      <c r="AQ320">
        <f t="shared" si="369"/>
        <v>0</v>
      </c>
    </row>
    <row r="321" spans="2:43" x14ac:dyDescent="0.3">
      <c r="B321" s="103" t="s">
        <v>82</v>
      </c>
      <c r="C321" s="86"/>
      <c r="D321" s="84" t="s">
        <v>42</v>
      </c>
      <c r="E321" s="84">
        <f t="shared" si="370"/>
        <v>0</v>
      </c>
      <c r="F321" s="85"/>
      <c r="G321" s="148" t="s">
        <v>966</v>
      </c>
      <c r="H321" s="148"/>
      <c r="I321" s="85"/>
      <c r="J321" s="84"/>
      <c r="K321" s="84"/>
      <c r="L321" s="146"/>
      <c r="M321" s="96" t="s">
        <v>36</v>
      </c>
      <c r="N321" s="85"/>
      <c r="O321" s="107">
        <v>0</v>
      </c>
      <c r="P321" s="113">
        <f t="shared" ref="P321:P361" si="372">ROUND((O321*0.4),0)</f>
        <v>0</v>
      </c>
      <c r="Q321" s="84">
        <f t="shared" si="354"/>
        <v>0</v>
      </c>
      <c r="R321" s="57"/>
      <c r="S321" s="154"/>
      <c r="T321" s="154">
        <f t="shared" si="355"/>
        <v>0</v>
      </c>
      <c r="U321" s="87" t="str">
        <f t="shared" si="356"/>
        <v>NONE</v>
      </c>
      <c r="V321" s="97"/>
      <c r="W321" s="146"/>
      <c r="X321" s="89">
        <f t="shared" si="371"/>
        <v>0</v>
      </c>
      <c r="Y321" s="154"/>
      <c r="Z321" s="113">
        <f t="shared" si="357"/>
        <v>0</v>
      </c>
      <c r="AA321" s="113">
        <f t="shared" si="358"/>
        <v>0</v>
      </c>
      <c r="AB321" s="113"/>
      <c r="AC321" s="155">
        <f t="shared" si="359"/>
        <v>0</v>
      </c>
      <c r="AD321" s="113"/>
      <c r="AE321" s="113">
        <f t="shared" si="360"/>
        <v>0</v>
      </c>
      <c r="AF321" s="113">
        <f>IF(AG321&gt;0,AG193:AG336,0)</f>
        <v>0</v>
      </c>
      <c r="AG321" s="113">
        <f t="shared" si="361"/>
        <v>0</v>
      </c>
      <c r="AI321">
        <f t="shared" si="362"/>
        <v>0</v>
      </c>
      <c r="AJ321">
        <f t="shared" si="363"/>
        <v>0</v>
      </c>
      <c r="AK321">
        <f t="shared" si="364"/>
        <v>0</v>
      </c>
      <c r="AL321">
        <f t="shared" si="365"/>
        <v>0</v>
      </c>
      <c r="AN321">
        <f t="shared" si="366"/>
        <v>0</v>
      </c>
      <c r="AO321">
        <f t="shared" si="367"/>
        <v>0</v>
      </c>
      <c r="AP321">
        <f t="shared" si="368"/>
        <v>0</v>
      </c>
      <c r="AQ321">
        <f t="shared" si="369"/>
        <v>0</v>
      </c>
    </row>
    <row r="322" spans="2:43" x14ac:dyDescent="0.3">
      <c r="B322" s="86" t="s">
        <v>996</v>
      </c>
      <c r="C322" s="99" t="s">
        <v>1019</v>
      </c>
      <c r="D322" s="84" t="s">
        <v>370</v>
      </c>
      <c r="E322" s="84">
        <f t="shared" si="370"/>
        <v>0</v>
      </c>
      <c r="F322" s="85"/>
      <c r="G322" s="85" t="s">
        <v>995</v>
      </c>
      <c r="H322" s="148">
        <v>7</v>
      </c>
      <c r="I322" s="85"/>
      <c r="J322" s="84" t="s">
        <v>997</v>
      </c>
      <c r="K322" s="84"/>
      <c r="L322" s="146"/>
      <c r="M322" s="96" t="s">
        <v>36</v>
      </c>
      <c r="N322" s="85"/>
      <c r="O322" s="107">
        <v>3065.08</v>
      </c>
      <c r="P322" s="242">
        <f>O322*0.5</f>
        <v>1532.54</v>
      </c>
      <c r="Q322" s="84">
        <f>IF(O322&gt;0,((O322+500)-P322)+T322,0)</f>
        <v>2032.54</v>
      </c>
      <c r="R322" s="57">
        <v>43064</v>
      </c>
      <c r="S322" s="154"/>
      <c r="T322" s="154">
        <f t="shared" si="355"/>
        <v>0</v>
      </c>
      <c r="U322" s="87" t="str">
        <f t="shared" si="356"/>
        <v>NONE</v>
      </c>
      <c r="V322" s="97"/>
      <c r="W322" s="90" t="s">
        <v>25</v>
      </c>
      <c r="X322" s="236">
        <f>Q322+P322</f>
        <v>3565.08</v>
      </c>
      <c r="Y322" s="154"/>
      <c r="Z322" s="113">
        <f t="shared" si="357"/>
        <v>0</v>
      </c>
      <c r="AA322" s="113">
        <f t="shared" si="358"/>
        <v>130</v>
      </c>
      <c r="AB322" s="113"/>
      <c r="AC322" s="155">
        <f t="shared" si="359"/>
        <v>2935.08</v>
      </c>
      <c r="AD322" s="113"/>
      <c r="AE322" s="113">
        <f t="shared" si="360"/>
        <v>0</v>
      </c>
      <c r="AF322" s="113">
        <f>IF(AG322&gt;0,AG194:AG322,0)</f>
        <v>2935.08</v>
      </c>
      <c r="AG322" s="113">
        <f t="shared" si="361"/>
        <v>2935.08</v>
      </c>
      <c r="AI322">
        <f t="shared" si="362"/>
        <v>0</v>
      </c>
      <c r="AJ322">
        <f t="shared" si="363"/>
        <v>0</v>
      </c>
      <c r="AK322">
        <f t="shared" si="364"/>
        <v>0</v>
      </c>
      <c r="AL322">
        <f t="shared" si="365"/>
        <v>0</v>
      </c>
      <c r="AN322">
        <f t="shared" si="366"/>
        <v>0</v>
      </c>
      <c r="AO322">
        <f t="shared" si="367"/>
        <v>0</v>
      </c>
      <c r="AP322">
        <f t="shared" si="368"/>
        <v>0</v>
      </c>
      <c r="AQ322">
        <f t="shared" si="369"/>
        <v>0</v>
      </c>
    </row>
    <row r="323" spans="2:43" x14ac:dyDescent="0.3">
      <c r="B323" s="86"/>
      <c r="C323" s="229"/>
      <c r="D323" s="84" t="s">
        <v>370</v>
      </c>
      <c r="E323" s="84">
        <f t="shared" si="370"/>
        <v>0</v>
      </c>
      <c r="F323" s="84"/>
      <c r="G323" s="148"/>
      <c r="H323" s="148"/>
      <c r="I323" s="85"/>
      <c r="K323" s="84"/>
      <c r="L323" s="188"/>
      <c r="M323" s="96" t="s">
        <v>36</v>
      </c>
      <c r="N323" s="84"/>
      <c r="O323" s="107">
        <v>0</v>
      </c>
      <c r="P323" s="113">
        <f t="shared" si="372"/>
        <v>0</v>
      </c>
      <c r="Q323" s="84">
        <f t="shared" si="354"/>
        <v>0</v>
      </c>
      <c r="R323" s="57"/>
      <c r="S323" s="89"/>
      <c r="T323" s="154">
        <f t="shared" si="355"/>
        <v>0</v>
      </c>
      <c r="U323" s="87" t="str">
        <f t="shared" si="356"/>
        <v>NONE</v>
      </c>
      <c r="V323" s="97"/>
      <c r="W323" s="90"/>
      <c r="X323" s="89">
        <f t="shared" si="371"/>
        <v>0</v>
      </c>
      <c r="Y323" s="89"/>
      <c r="Z323" s="58">
        <f t="shared" si="357"/>
        <v>0</v>
      </c>
      <c r="AA323" s="58">
        <f t="shared" si="358"/>
        <v>0</v>
      </c>
      <c r="AB323" s="58"/>
      <c r="AC323" s="98">
        <f t="shared" si="359"/>
        <v>0</v>
      </c>
      <c r="AD323" s="58"/>
      <c r="AE323" s="58">
        <f t="shared" si="360"/>
        <v>0</v>
      </c>
      <c r="AF323" s="58">
        <f>IF(AG323&gt;0,AG196:AG323,0)</f>
        <v>0</v>
      </c>
      <c r="AG323" s="58">
        <f t="shared" si="361"/>
        <v>0</v>
      </c>
      <c r="AI323">
        <f t="shared" si="362"/>
        <v>0</v>
      </c>
      <c r="AJ323">
        <f t="shared" si="363"/>
        <v>0</v>
      </c>
      <c r="AK323">
        <f t="shared" si="364"/>
        <v>0</v>
      </c>
      <c r="AL323">
        <f t="shared" si="365"/>
        <v>0</v>
      </c>
      <c r="AN323">
        <f t="shared" si="366"/>
        <v>0</v>
      </c>
      <c r="AO323">
        <f t="shared" si="367"/>
        <v>0</v>
      </c>
      <c r="AP323">
        <f t="shared" si="368"/>
        <v>0</v>
      </c>
      <c r="AQ323">
        <f t="shared" si="369"/>
        <v>0</v>
      </c>
    </row>
    <row r="324" spans="2:43" x14ac:dyDescent="0.3">
      <c r="B324" s="148" t="s">
        <v>1093</v>
      </c>
      <c r="C324" t="s">
        <v>866</v>
      </c>
      <c r="D324" s="84" t="s">
        <v>822</v>
      </c>
      <c r="E324" s="84">
        <f t="shared" si="370"/>
        <v>0</v>
      </c>
      <c r="F324" s="84"/>
      <c r="G324" s="148" t="s">
        <v>988</v>
      </c>
      <c r="H324" s="148">
        <v>20</v>
      </c>
      <c r="I324" s="85"/>
      <c r="J324" s="84" t="s">
        <v>777</v>
      </c>
      <c r="K324" s="84"/>
      <c r="L324" s="90"/>
      <c r="M324" s="96" t="s">
        <v>36</v>
      </c>
      <c r="N324" s="84"/>
      <c r="O324" s="107">
        <v>5800</v>
      </c>
      <c r="P324" s="113">
        <v>500</v>
      </c>
      <c r="Q324" s="84">
        <f t="shared" si="354"/>
        <v>5800</v>
      </c>
      <c r="R324" s="57">
        <v>43071</v>
      </c>
      <c r="S324" s="89"/>
      <c r="T324" s="154">
        <f t="shared" si="355"/>
        <v>0</v>
      </c>
      <c r="U324" s="87" t="str">
        <f t="shared" si="356"/>
        <v>NONE</v>
      </c>
      <c r="V324" s="97"/>
      <c r="W324" s="90" t="s">
        <v>162</v>
      </c>
      <c r="X324" s="89">
        <f>Q324+P324</f>
        <v>6300</v>
      </c>
      <c r="Y324" s="89"/>
      <c r="Z324" s="58">
        <f t="shared" si="357"/>
        <v>0</v>
      </c>
      <c r="AA324" s="58">
        <f t="shared" si="358"/>
        <v>130</v>
      </c>
      <c r="AB324" s="58"/>
      <c r="AC324" s="98">
        <f t="shared" si="359"/>
        <v>5670</v>
      </c>
      <c r="AD324" s="58"/>
      <c r="AE324" s="58">
        <f t="shared" si="360"/>
        <v>0</v>
      </c>
      <c r="AF324" s="58">
        <f>IF(AG324&gt;0,AG204:AG324,0)</f>
        <v>5670</v>
      </c>
      <c r="AG324" s="58">
        <f t="shared" si="361"/>
        <v>5670</v>
      </c>
      <c r="AI324">
        <f t="shared" si="362"/>
        <v>0</v>
      </c>
      <c r="AJ324">
        <f t="shared" si="363"/>
        <v>0</v>
      </c>
      <c r="AK324">
        <f t="shared" si="364"/>
        <v>0</v>
      </c>
      <c r="AL324">
        <f t="shared" si="365"/>
        <v>0</v>
      </c>
      <c r="AN324">
        <f t="shared" si="366"/>
        <v>0</v>
      </c>
      <c r="AO324">
        <f t="shared" si="367"/>
        <v>0</v>
      </c>
      <c r="AP324">
        <f t="shared" si="368"/>
        <v>0</v>
      </c>
      <c r="AQ324">
        <f t="shared" si="369"/>
        <v>0</v>
      </c>
    </row>
    <row r="325" spans="2:43" x14ac:dyDescent="0.3">
      <c r="B325" s="103" t="s">
        <v>1083</v>
      </c>
      <c r="C325" s="86"/>
      <c r="D325" s="84" t="s">
        <v>42</v>
      </c>
      <c r="E325" s="84">
        <f t="shared" si="370"/>
        <v>5</v>
      </c>
      <c r="F325" s="84"/>
      <c r="G325" s="108" t="s">
        <v>1081</v>
      </c>
      <c r="H325" s="148">
        <v>5</v>
      </c>
      <c r="I325" s="85"/>
      <c r="J325" s="84"/>
      <c r="K325" s="84"/>
      <c r="L325" s="90"/>
      <c r="M325" s="96" t="s">
        <v>36</v>
      </c>
      <c r="N325" s="84"/>
      <c r="O325" s="107">
        <v>0</v>
      </c>
      <c r="P325" s="113">
        <f t="shared" si="372"/>
        <v>0</v>
      </c>
      <c r="Q325" s="84">
        <f t="shared" si="354"/>
        <v>0</v>
      </c>
      <c r="R325" s="57"/>
      <c r="S325" s="89"/>
      <c r="T325" s="154">
        <f t="shared" si="355"/>
        <v>0</v>
      </c>
      <c r="U325" s="87" t="str">
        <f t="shared" si="356"/>
        <v>NONE</v>
      </c>
      <c r="V325" s="97"/>
      <c r="W325" s="90"/>
      <c r="X325" s="89">
        <f t="shared" si="371"/>
        <v>0</v>
      </c>
      <c r="Y325" s="89"/>
      <c r="Z325" s="58">
        <f t="shared" si="357"/>
        <v>0</v>
      </c>
      <c r="AA325" s="58">
        <f t="shared" si="358"/>
        <v>130</v>
      </c>
      <c r="AB325" s="58"/>
      <c r="AC325" s="98">
        <f t="shared" si="359"/>
        <v>-130</v>
      </c>
      <c r="AD325" s="58"/>
      <c r="AE325" s="58">
        <f t="shared" si="360"/>
        <v>0</v>
      </c>
      <c r="AF325" s="58">
        <f>IF(AG325&gt;0,AG183:AG325,0)</f>
        <v>0</v>
      </c>
      <c r="AG325" s="58">
        <f t="shared" ref="AG325:AG332" si="373">AC325-AE325</f>
        <v>-130</v>
      </c>
      <c r="AH325" s="84"/>
      <c r="AI325" s="84">
        <f t="shared" ref="AI325:AI332" si="374">IF(S325=1,O325-T325,0)</f>
        <v>0</v>
      </c>
      <c r="AJ325">
        <f t="shared" ref="AJ325:AJ332" si="375">IF(S325=2,O325-T325,0)</f>
        <v>0</v>
      </c>
      <c r="AK325">
        <f t="shared" ref="AK325:AK332" si="376">IF(S325=3,O325-T325,0)</f>
        <v>0</v>
      </c>
      <c r="AL325">
        <f t="shared" ref="AL325:AL332" si="377">IF(S325=4,O325-T325,0)</f>
        <v>0</v>
      </c>
      <c r="AN325">
        <f t="shared" ref="AN325:AN332" si="378">IF(S325=1,O325-T325,0)</f>
        <v>0</v>
      </c>
      <c r="AO325">
        <f t="shared" ref="AO325:AO332" si="379">IF(S325=2,O325-T325,0)</f>
        <v>0</v>
      </c>
      <c r="AP325">
        <f t="shared" ref="AP325:AP332" si="380">IF(S325=3,O325-T325,0)</f>
        <v>0</v>
      </c>
      <c r="AQ325">
        <f t="shared" ref="AQ325:AQ332" si="381">IF(S325=4,O325-T325,0)</f>
        <v>0</v>
      </c>
    </row>
    <row r="326" spans="2:43" x14ac:dyDescent="0.3">
      <c r="B326" s="262" t="s">
        <v>1084</v>
      </c>
      <c r="C326" s="229" t="s">
        <v>1091</v>
      </c>
      <c r="D326" s="85" t="s">
        <v>370</v>
      </c>
      <c r="E326" s="84">
        <f t="shared" si="370"/>
        <v>0</v>
      </c>
      <c r="F326" s="84"/>
      <c r="G326" s="60" t="s">
        <v>1082</v>
      </c>
      <c r="H326" s="148">
        <v>4</v>
      </c>
      <c r="I326" s="85"/>
      <c r="J326" s="84" t="s">
        <v>1053</v>
      </c>
      <c r="K326" s="84"/>
      <c r="L326" s="90"/>
      <c r="M326" s="96" t="s">
        <v>36</v>
      </c>
      <c r="N326" s="84"/>
      <c r="O326" s="107">
        <f>2057.11-149</f>
        <v>1908.1100000000001</v>
      </c>
      <c r="P326" s="113">
        <f>1908.11+500</f>
        <v>2408.1099999999997</v>
      </c>
      <c r="Q326" s="84">
        <v>0</v>
      </c>
      <c r="R326" s="57" t="s">
        <v>1085</v>
      </c>
      <c r="S326" s="89"/>
      <c r="T326" s="154">
        <f>IF(U326=$AD$2,47,IF(U326=$AD$1,ROUND(((O326+500)*0.039),0),IF(U326=$AD$3,0)))</f>
        <v>0</v>
      </c>
      <c r="U326" s="87" t="str">
        <f>IF(V326=1,$AD$2,IF(V326=2,$AD$1,IF(AND(V326&lt;&gt;1,V326&lt;&gt;20)=TRUE,$AD$3)))</f>
        <v>NONE</v>
      </c>
      <c r="V326" s="97"/>
      <c r="W326" s="90" t="s">
        <v>25</v>
      </c>
      <c r="X326" s="89">
        <f t="shared" ref="X326" si="382">Q326+P326</f>
        <v>2408.1099999999997</v>
      </c>
      <c r="Y326" s="89"/>
      <c r="Z326" s="58">
        <f>IF(W326=$Z$1,Q326-500,0)</f>
        <v>0</v>
      </c>
      <c r="AA326" s="58">
        <f>IF(H326&gt;0,130,0)</f>
        <v>130</v>
      </c>
      <c r="AB326" s="58"/>
      <c r="AC326" s="98">
        <f>(O326+T326)-AA326</f>
        <v>1778.1100000000001</v>
      </c>
      <c r="AD326" s="58"/>
      <c r="AE326" s="58">
        <f>IF(H326&gt;0,30*F326,0)</f>
        <v>0</v>
      </c>
      <c r="AF326" s="58">
        <f>IF(AG326&gt;0,AG189:AG326,0)</f>
        <v>1778.1100000000001</v>
      </c>
      <c r="AG326" s="58">
        <f>AC326-AE326</f>
        <v>1778.1100000000001</v>
      </c>
      <c r="AI326">
        <f>IF(S326=1,O326-T326,0)</f>
        <v>0</v>
      </c>
      <c r="AJ326">
        <f>IF(S326=2,O326-T326,0)</f>
        <v>0</v>
      </c>
      <c r="AK326">
        <f>IF(S326=3,O326-T326,0)</f>
        <v>0</v>
      </c>
      <c r="AL326">
        <f>IF(S326=4,O326-T326,0)</f>
        <v>0</v>
      </c>
      <c r="AN326">
        <f>IF(S326=1,O326-T326,0)</f>
        <v>0</v>
      </c>
      <c r="AO326">
        <f>IF(S326=2,O326-T326,0)</f>
        <v>0</v>
      </c>
      <c r="AP326">
        <f>IF(S326=3,O326-T326,0)</f>
        <v>0</v>
      </c>
      <c r="AQ326">
        <f>IF(S326=4,O326-T326,0)</f>
        <v>0</v>
      </c>
    </row>
    <row r="327" spans="2:43" x14ac:dyDescent="0.3">
      <c r="B327" s="265" t="s">
        <v>1098</v>
      </c>
      <c r="C327" s="99" t="s">
        <v>1099</v>
      </c>
      <c r="D327" s="84" t="s">
        <v>370</v>
      </c>
      <c r="E327" s="84">
        <f t="shared" si="370"/>
        <v>0</v>
      </c>
      <c r="F327" s="85"/>
      <c r="G327" s="60" t="s">
        <v>1052</v>
      </c>
      <c r="H327" s="148">
        <v>7</v>
      </c>
      <c r="I327" s="88"/>
      <c r="J327" s="84" t="s">
        <v>1097</v>
      </c>
      <c r="K327" s="84"/>
      <c r="L327" s="60"/>
      <c r="M327" s="96" t="s">
        <v>36</v>
      </c>
      <c r="N327" s="84"/>
      <c r="O327" s="107">
        <v>3065.08</v>
      </c>
      <c r="P327" s="113">
        <v>1532.54</v>
      </c>
      <c r="Q327" s="84">
        <f t="shared" si="354"/>
        <v>2032.54</v>
      </c>
      <c r="R327" s="57">
        <v>43096</v>
      </c>
      <c r="S327" s="154">
        <v>1</v>
      </c>
      <c r="T327" s="154">
        <f t="shared" si="355"/>
        <v>0</v>
      </c>
      <c r="U327" s="87" t="str">
        <f>IF(V327=1,$AD$2,IF(V327=2,$AD$1,IF(AND(V327&lt;&gt;1,V327&lt;&gt;20)=TRUE,$AD$3)))</f>
        <v>NONE</v>
      </c>
      <c r="V327" s="97"/>
      <c r="W327" s="146" t="s">
        <v>25</v>
      </c>
      <c r="X327" s="203">
        <f t="shared" si="371"/>
        <v>3565.08</v>
      </c>
      <c r="Y327" s="154"/>
      <c r="Z327" s="113">
        <f>IF(W327=$Z$1,Q327-500,0)</f>
        <v>0</v>
      </c>
      <c r="AA327" s="113">
        <f>IF(H327&gt;0,130,0)</f>
        <v>130</v>
      </c>
      <c r="AB327" s="113"/>
      <c r="AC327" s="155">
        <f>(O327+T327)-AA327</f>
        <v>2935.08</v>
      </c>
      <c r="AD327" s="113"/>
      <c r="AE327" s="113">
        <f>IF(H327&gt;0,30*F327,0)</f>
        <v>0</v>
      </c>
      <c r="AF327" s="113">
        <f>IF(AG327&gt;0,AG206:AG327,0)</f>
        <v>2935.08</v>
      </c>
      <c r="AG327" s="113">
        <f t="shared" si="373"/>
        <v>2935.08</v>
      </c>
      <c r="AI327">
        <f t="shared" si="374"/>
        <v>3065.08</v>
      </c>
      <c r="AJ327">
        <f t="shared" si="375"/>
        <v>0</v>
      </c>
      <c r="AK327">
        <f t="shared" si="376"/>
        <v>0</v>
      </c>
      <c r="AL327">
        <f t="shared" si="377"/>
        <v>0</v>
      </c>
      <c r="AN327">
        <f t="shared" si="378"/>
        <v>3065.08</v>
      </c>
      <c r="AO327">
        <f t="shared" si="379"/>
        <v>0</v>
      </c>
      <c r="AP327">
        <f t="shared" si="380"/>
        <v>0</v>
      </c>
      <c r="AQ327">
        <f t="shared" si="381"/>
        <v>0</v>
      </c>
    </row>
    <row r="328" spans="2:43" s="216" customFormat="1" x14ac:dyDescent="0.3">
      <c r="B328" s="258" t="s">
        <v>1070</v>
      </c>
      <c r="C328" s="229" t="s">
        <v>1042</v>
      </c>
      <c r="D328" s="251" t="s">
        <v>370</v>
      </c>
      <c r="E328" s="84">
        <f t="shared" si="370"/>
        <v>0</v>
      </c>
      <c r="F328" s="257"/>
      <c r="G328" s="259" t="s">
        <v>1041</v>
      </c>
      <c r="H328" s="159">
        <v>4</v>
      </c>
      <c r="I328" s="250"/>
      <c r="J328" s="251" t="s">
        <v>777</v>
      </c>
      <c r="K328" s="251"/>
      <c r="L328" s="252"/>
      <c r="M328" s="253" t="s">
        <v>36</v>
      </c>
      <c r="N328" s="251"/>
      <c r="O328" s="254">
        <f>1753.15-135</f>
        <v>1618.15</v>
      </c>
      <c r="P328" s="242">
        <f>ROUND((O328*0.5),2)</f>
        <v>809.08</v>
      </c>
      <c r="Q328" s="251">
        <f t="shared" ref="Q328:Q329" si="383">IF(O328&gt;0,((O328+500)-P328)+T328,0)</f>
        <v>1309.0700000000002</v>
      </c>
      <c r="R328" s="261" t="s">
        <v>1043</v>
      </c>
      <c r="S328" s="242"/>
      <c r="T328" s="242">
        <f>IF(U328=$AD$2,47,IF(U328=$AD$1,ROUND(((O328+500)*0.039),0),IF(U328=$AD$3,0)))</f>
        <v>0</v>
      </c>
      <c r="U328" s="255" t="str">
        <f>IF(V328=1,$AD$2,IF(V328=2,$AD$1,IF(AND(V328&lt;&gt;1,V328&lt;&gt;20)=TRUE,$AD$3)))</f>
        <v>NONE</v>
      </c>
      <c r="V328" s="256"/>
      <c r="W328" s="264" t="s">
        <v>25</v>
      </c>
      <c r="X328" s="203">
        <f t="shared" ref="X328:X330" si="384">Q328+P328</f>
        <v>2118.15</v>
      </c>
      <c r="Y328" s="242"/>
      <c r="Z328" s="242">
        <f>IF(W328=$Z$1,Q328-500,0)</f>
        <v>0</v>
      </c>
      <c r="AA328" s="242">
        <f>IF(H328&gt;0,130,0)</f>
        <v>130</v>
      </c>
      <c r="AB328" s="242"/>
      <c r="AC328" s="257">
        <f>(O328+T328)-AA328</f>
        <v>1488.15</v>
      </c>
      <c r="AD328" s="242"/>
      <c r="AE328" s="242">
        <f>IF(H328&gt;0,30*F328,0)</f>
        <v>0</v>
      </c>
      <c r="AF328" s="242">
        <f>IF(AG328&gt;0,AG205:AG328,0)</f>
        <v>1488.15</v>
      </c>
      <c r="AG328" s="242">
        <f t="shared" si="373"/>
        <v>1488.15</v>
      </c>
      <c r="AI328" s="216">
        <f t="shared" si="374"/>
        <v>0</v>
      </c>
      <c r="AJ328" s="216">
        <f t="shared" si="375"/>
        <v>0</v>
      </c>
      <c r="AK328" s="216">
        <f t="shared" si="376"/>
        <v>0</v>
      </c>
      <c r="AL328" s="216">
        <f t="shared" si="377"/>
        <v>0</v>
      </c>
      <c r="AN328" s="216">
        <f t="shared" si="378"/>
        <v>0</v>
      </c>
      <c r="AO328" s="216">
        <f t="shared" si="379"/>
        <v>0</v>
      </c>
      <c r="AP328" s="216">
        <f t="shared" si="380"/>
        <v>0</v>
      </c>
      <c r="AQ328" s="216">
        <f t="shared" si="381"/>
        <v>0</v>
      </c>
    </row>
    <row r="329" spans="2:43" x14ac:dyDescent="0.3">
      <c r="B329" s="86" t="s">
        <v>1055</v>
      </c>
      <c r="C329" s="99" t="s">
        <v>1100</v>
      </c>
      <c r="D329" s="84" t="s">
        <v>370</v>
      </c>
      <c r="E329" s="84">
        <f t="shared" si="370"/>
        <v>0</v>
      </c>
      <c r="F329" s="85"/>
      <c r="G329" s="60" t="s">
        <v>1054</v>
      </c>
      <c r="H329" s="148">
        <v>7</v>
      </c>
      <c r="I329" s="88"/>
      <c r="J329" s="84" t="s">
        <v>712</v>
      </c>
      <c r="K329" s="84"/>
      <c r="L329" s="220"/>
      <c r="M329" s="96" t="s">
        <v>36</v>
      </c>
      <c r="N329" s="84"/>
      <c r="O329" s="107">
        <v>3544</v>
      </c>
      <c r="P329" s="113">
        <v>1692</v>
      </c>
      <c r="Q329" s="84">
        <f t="shared" si="383"/>
        <v>2352</v>
      </c>
      <c r="R329" s="57">
        <v>42746</v>
      </c>
      <c r="S329" s="154"/>
      <c r="T329" s="154">
        <f>IF(U329=$AD$2,47,IF(U329=$AD$1,ROUND(((O329+500)*0.039),0),IF(U329=$AD$3,0)))</f>
        <v>0</v>
      </c>
      <c r="U329" s="87" t="str">
        <f>IF(V329=1,$AD$2,IF(V329=2,$AD$1,IF(AND(V329&lt;&gt;1,V329&lt;&gt;20)=TRUE,$AD$3)))</f>
        <v>NONE</v>
      </c>
      <c r="V329" s="97"/>
      <c r="W329" s="146" t="s">
        <v>25</v>
      </c>
      <c r="X329" s="89">
        <f t="shared" si="384"/>
        <v>4044</v>
      </c>
      <c r="Y329" s="154"/>
      <c r="Z329" s="113">
        <f>IF(W329=$Z$1,Q329-500,0)</f>
        <v>0</v>
      </c>
      <c r="AA329" s="113">
        <f>IF(H329&gt;0,130,0)</f>
        <v>130</v>
      </c>
      <c r="AB329" s="113"/>
      <c r="AC329" s="155">
        <f>(O329+T329)-AA329</f>
        <v>3414</v>
      </c>
      <c r="AD329" s="113"/>
      <c r="AE329" s="113">
        <f>IF(H329&gt;0,30*F329,0)</f>
        <v>0</v>
      </c>
      <c r="AF329" s="113">
        <f>IF(AG329&gt;0,AG205:AG329,0)</f>
        <v>3414</v>
      </c>
      <c r="AG329" s="113">
        <f t="shared" si="373"/>
        <v>3414</v>
      </c>
      <c r="AI329">
        <f t="shared" si="374"/>
        <v>0</v>
      </c>
      <c r="AJ329">
        <f t="shared" si="375"/>
        <v>0</v>
      </c>
      <c r="AK329">
        <f t="shared" si="376"/>
        <v>0</v>
      </c>
      <c r="AL329">
        <f t="shared" si="377"/>
        <v>0</v>
      </c>
      <c r="AN329">
        <f t="shared" si="378"/>
        <v>0</v>
      </c>
      <c r="AO329">
        <f t="shared" si="379"/>
        <v>0</v>
      </c>
      <c r="AP329">
        <f t="shared" si="380"/>
        <v>0</v>
      </c>
      <c r="AQ329">
        <f t="shared" si="381"/>
        <v>0</v>
      </c>
    </row>
    <row r="330" spans="2:43" x14ac:dyDescent="0.3">
      <c r="B330" s="86" t="s">
        <v>1072</v>
      </c>
      <c r="C330" s="99" t="s">
        <v>1073</v>
      </c>
      <c r="D330" s="84" t="s">
        <v>822</v>
      </c>
      <c r="E330" s="84">
        <f t="shared" si="370"/>
        <v>0</v>
      </c>
      <c r="F330" s="85"/>
      <c r="G330" s="60" t="s">
        <v>1074</v>
      </c>
      <c r="H330" s="148">
        <v>5</v>
      </c>
      <c r="I330" s="88"/>
      <c r="J330" s="84" t="s">
        <v>1075</v>
      </c>
      <c r="K330" s="84"/>
      <c r="L330" s="220"/>
      <c r="M330" s="96" t="s">
        <v>36</v>
      </c>
      <c r="N330" s="84"/>
      <c r="O330" s="107">
        <v>2223.9299999999998</v>
      </c>
      <c r="P330" s="113">
        <f>ROUND((O330*0.5),2)</f>
        <v>1111.97</v>
      </c>
      <c r="Q330" s="84">
        <f>IF(O330&gt;0,((O330+500)-P330)+T330,0)</f>
        <v>1611.9599999999998</v>
      </c>
      <c r="R330" s="57">
        <v>43123</v>
      </c>
      <c r="S330" s="154"/>
      <c r="T330" s="154">
        <f>IF(U330=$AD$2,47,IF(U330=$AD$1,ROUND(((O330+500)*0.039),0),IF(U330=$AD$3,0)))</f>
        <v>0</v>
      </c>
      <c r="U330" s="87" t="str">
        <f>IF(V330=1,$AD$2,IF(V330=2,$AD$1,IF(AND(V330&lt;&gt;1,V330&lt;&gt;20)=TRUE,$AD$3)))</f>
        <v>NONE</v>
      </c>
      <c r="V330" s="97"/>
      <c r="W330" s="146" t="s">
        <v>25</v>
      </c>
      <c r="X330" s="236">
        <f t="shared" si="384"/>
        <v>2723.93</v>
      </c>
      <c r="Y330" s="154"/>
      <c r="Z330" s="113">
        <f>IF(W330=$Z$1,Q330-500,0)</f>
        <v>0</v>
      </c>
      <c r="AA330" s="113">
        <f>IF(H330&gt;0,130,0)</f>
        <v>130</v>
      </c>
      <c r="AB330" s="113"/>
      <c r="AC330" s="155">
        <f>(O330+T330)-AA330</f>
        <v>2093.9299999999998</v>
      </c>
      <c r="AD330" s="113"/>
      <c r="AE330" s="113">
        <f>IF(H330&gt;0,30*F330,0)</f>
        <v>0</v>
      </c>
      <c r="AF330" s="113">
        <f>IF(AG330&gt;0,AG205:AG330,0)</f>
        <v>2093.9299999999998</v>
      </c>
      <c r="AG330" s="113">
        <f t="shared" ref="AG330" si="385">AC330-AE330</f>
        <v>2093.9299999999998</v>
      </c>
      <c r="AI330">
        <f t="shared" ref="AI330" si="386">IF(S330=1,O330-T330,0)</f>
        <v>0</v>
      </c>
      <c r="AJ330">
        <f t="shared" ref="AJ330" si="387">IF(S330=2,O330-T330,0)</f>
        <v>0</v>
      </c>
      <c r="AK330">
        <f t="shared" ref="AK330" si="388">IF(S330=3,O330-T330,0)</f>
        <v>0</v>
      </c>
      <c r="AL330">
        <f t="shared" ref="AL330" si="389">IF(S330=4,O330-T330,0)</f>
        <v>0</v>
      </c>
      <c r="AN330">
        <f t="shared" ref="AN330" si="390">IF(S330=1,O330-T330,0)</f>
        <v>0</v>
      </c>
      <c r="AO330">
        <f t="shared" ref="AO330" si="391">IF(S330=2,O330-T330,0)</f>
        <v>0</v>
      </c>
      <c r="AP330">
        <f t="shared" ref="AP330" si="392">IF(S330=3,O330-T330,0)</f>
        <v>0</v>
      </c>
      <c r="AQ330">
        <f t="shared" ref="AQ330" si="393">IF(S330=4,O330-T330,0)</f>
        <v>0</v>
      </c>
    </row>
    <row r="331" spans="2:43" x14ac:dyDescent="0.3">
      <c r="B331" s="267" t="s">
        <v>1069</v>
      </c>
      <c r="C331" s="229" t="s">
        <v>1037</v>
      </c>
      <c r="D331" s="84" t="s">
        <v>370</v>
      </c>
      <c r="E331" s="84">
        <f t="shared" si="370"/>
        <v>0</v>
      </c>
      <c r="F331" s="85"/>
      <c r="G331" s="85" t="s">
        <v>1071</v>
      </c>
      <c r="H331" s="148">
        <v>5</v>
      </c>
      <c r="I331" s="85"/>
      <c r="J331" s="84" t="s">
        <v>1036</v>
      </c>
      <c r="K331" s="84"/>
      <c r="L331" s="146"/>
      <c r="M331" s="96" t="s">
        <v>36</v>
      </c>
      <c r="N331" s="85"/>
      <c r="O331" s="107">
        <v>1941</v>
      </c>
      <c r="P331" s="113">
        <f>((O331*0.5))</f>
        <v>970.5</v>
      </c>
      <c r="Q331" s="84">
        <f t="shared" si="354"/>
        <v>1470.5</v>
      </c>
      <c r="R331" s="57">
        <v>42758</v>
      </c>
      <c r="S331" s="154"/>
      <c r="T331" s="154">
        <f t="shared" si="355"/>
        <v>0</v>
      </c>
      <c r="U331" s="87" t="str">
        <f t="shared" ref="U331" si="394">IF(V331=1,$AD$2,IF(V331=2,$AD$1,IF(AND(V331&lt;&gt;1,V331&lt;&gt;20)=TRUE,$AD$3)))</f>
        <v>NONE</v>
      </c>
      <c r="V331" s="97"/>
      <c r="W331" s="90" t="s">
        <v>1110</v>
      </c>
      <c r="X331" s="89">
        <f>Q331+P331</f>
        <v>2441</v>
      </c>
      <c r="Y331" s="154"/>
      <c r="Z331" s="113">
        <f t="shared" ref="Z331" si="395">IF(W331=$Z$1,Q331-500,0)</f>
        <v>0</v>
      </c>
      <c r="AA331" s="113">
        <f t="shared" ref="AA331" si="396">IF(H331&gt;0,130,0)</f>
        <v>130</v>
      </c>
      <c r="AB331" s="113"/>
      <c r="AC331" s="155">
        <f t="shared" ref="AC331" si="397">(O331+T331)-AA331</f>
        <v>1811</v>
      </c>
      <c r="AD331" s="113"/>
      <c r="AE331" s="113">
        <f t="shared" ref="AE331" si="398">IF(H331&gt;0,30*F331,0)</f>
        <v>0</v>
      </c>
      <c r="AF331" s="113">
        <f>IF(AG331&gt;0,AG200:AG352,0)</f>
        <v>1811</v>
      </c>
      <c r="AG331" s="113">
        <f t="shared" si="373"/>
        <v>1811</v>
      </c>
      <c r="AI331">
        <f t="shared" si="374"/>
        <v>0</v>
      </c>
      <c r="AJ331">
        <f t="shared" si="375"/>
        <v>0</v>
      </c>
      <c r="AK331">
        <f t="shared" si="376"/>
        <v>0</v>
      </c>
      <c r="AL331">
        <f t="shared" si="377"/>
        <v>0</v>
      </c>
      <c r="AN331">
        <f t="shared" si="378"/>
        <v>0</v>
      </c>
      <c r="AO331">
        <f t="shared" si="379"/>
        <v>0</v>
      </c>
      <c r="AP331">
        <f t="shared" si="380"/>
        <v>0</v>
      </c>
      <c r="AQ331">
        <f t="shared" si="381"/>
        <v>0</v>
      </c>
    </row>
    <row r="332" spans="2:43" x14ac:dyDescent="0.3">
      <c r="B332" s="86"/>
      <c r="C332" s="84"/>
      <c r="D332" s="84"/>
      <c r="E332" s="84">
        <f t="shared" si="370"/>
        <v>0</v>
      </c>
      <c r="F332" s="85"/>
      <c r="G332" s="60"/>
      <c r="H332" s="148"/>
      <c r="I332" s="88"/>
      <c r="J332" s="84"/>
      <c r="K332" s="84"/>
      <c r="L332" s="220"/>
      <c r="M332" s="96" t="s">
        <v>36</v>
      </c>
      <c r="N332" s="84"/>
      <c r="O332" s="107">
        <v>0</v>
      </c>
      <c r="P332" s="113">
        <f t="shared" si="372"/>
        <v>0</v>
      </c>
      <c r="Q332" s="84">
        <f t="shared" si="354"/>
        <v>0</v>
      </c>
      <c r="R332" s="57"/>
      <c r="S332" s="154"/>
      <c r="T332" s="154">
        <f>IF(U332=$AD$2,47,IF(U332=$AD$1,ROUND(((O332+500)*0.039),0),IF(U332=$AD$3,0)))</f>
        <v>0</v>
      </c>
      <c r="U332" s="87" t="str">
        <f>IF(V332=1,$AD$2,IF(V332=2,$AD$1,IF(AND(V332&lt;&gt;1,V332&lt;&gt;20)=TRUE,$AD$3)))</f>
        <v>NONE</v>
      </c>
      <c r="V332" s="97"/>
      <c r="W332" s="146"/>
      <c r="X332" s="89">
        <f t="shared" si="371"/>
        <v>0</v>
      </c>
      <c r="Y332" s="154"/>
      <c r="Z332" s="113">
        <f>IF(W332=$Z$1,Q332-500,0)</f>
        <v>0</v>
      </c>
      <c r="AA332" s="113">
        <f>IF(H332&gt;0,130,0)</f>
        <v>0</v>
      </c>
      <c r="AB332" s="113"/>
      <c r="AC332" s="155">
        <f>(O332+T332)-AA332</f>
        <v>0</v>
      </c>
      <c r="AD332" s="113"/>
      <c r="AE332" s="113">
        <f>IF(H332&gt;0,30*F332,0)</f>
        <v>0</v>
      </c>
      <c r="AF332" s="113">
        <f>IF(AG332&gt;0,AG207:AG332,0)</f>
        <v>0</v>
      </c>
      <c r="AG332" s="113">
        <f t="shared" si="373"/>
        <v>0</v>
      </c>
      <c r="AI332">
        <f t="shared" si="374"/>
        <v>0</v>
      </c>
      <c r="AJ332">
        <f t="shared" si="375"/>
        <v>0</v>
      </c>
      <c r="AK332">
        <f t="shared" si="376"/>
        <v>0</v>
      </c>
      <c r="AL332">
        <f t="shared" si="377"/>
        <v>0</v>
      </c>
      <c r="AN332">
        <f t="shared" si="378"/>
        <v>0</v>
      </c>
      <c r="AO332">
        <f t="shared" si="379"/>
        <v>0</v>
      </c>
      <c r="AP332">
        <f t="shared" si="380"/>
        <v>0</v>
      </c>
      <c r="AQ332">
        <f t="shared" si="381"/>
        <v>0</v>
      </c>
    </row>
    <row r="333" spans="2:43" x14ac:dyDescent="0.3">
      <c r="B333" s="103" t="s">
        <v>82</v>
      </c>
      <c r="C333" s="86"/>
      <c r="D333" s="84" t="s">
        <v>42</v>
      </c>
      <c r="E333" s="84">
        <f t="shared" si="370"/>
        <v>3</v>
      </c>
      <c r="F333" s="85"/>
      <c r="G333" s="247" t="s">
        <v>1080</v>
      </c>
      <c r="H333" s="148">
        <v>3</v>
      </c>
      <c r="I333" s="88"/>
      <c r="J333" s="84"/>
      <c r="K333" s="84"/>
      <c r="L333" s="60"/>
      <c r="M333" s="96" t="s">
        <v>36</v>
      </c>
      <c r="N333" s="84"/>
      <c r="O333" s="107">
        <v>0</v>
      </c>
      <c r="P333" s="113">
        <f t="shared" si="372"/>
        <v>0</v>
      </c>
      <c r="Q333" s="84">
        <f t="shared" si="354"/>
        <v>0</v>
      </c>
      <c r="R333" s="57"/>
      <c r="S333" s="154"/>
      <c r="T333" s="154">
        <f t="shared" ref="T333:T334" si="399">IF(U333=$AD$2,47,IF(U333=$AD$1,ROUND(((O333+500)*0.039),0),IF(U333=$AD$3,0)))</f>
        <v>0</v>
      </c>
      <c r="U333" s="87" t="str">
        <f t="shared" ref="U333:U334" si="400">IF(V333=1,$AD$2,IF(V333=2,$AD$1,IF(AND(V333&lt;&gt;1,V333&lt;&gt;20)=TRUE,$AD$3)))</f>
        <v>NONE</v>
      </c>
      <c r="V333" s="97"/>
      <c r="W333" s="146"/>
      <c r="X333" s="89">
        <f t="shared" si="371"/>
        <v>0</v>
      </c>
      <c r="Y333" s="154"/>
      <c r="Z333" s="113">
        <f t="shared" ref="Z333:Z334" si="401">IF(W333=$Z$1,Q333-500,0)</f>
        <v>0</v>
      </c>
      <c r="AA333" s="113">
        <f t="shared" ref="AA333:AA334" si="402">IF(H333&gt;0,130,0)</f>
        <v>130</v>
      </c>
      <c r="AB333" s="113"/>
      <c r="AC333" s="155">
        <f t="shared" ref="AC333:AC334" si="403">(O333+T333)-AA333</f>
        <v>-130</v>
      </c>
      <c r="AD333" s="113"/>
      <c r="AE333" s="113">
        <f t="shared" ref="AE333:AE334" si="404">IF(H333&gt;0,30*F333,0)</f>
        <v>0</v>
      </c>
      <c r="AF333" s="113">
        <f>IF(AG333&gt;0,AG208:AG333,0)</f>
        <v>0</v>
      </c>
      <c r="AG333" s="113">
        <f t="shared" ref="AG333:AG334" si="405">AC333-AE333</f>
        <v>-130</v>
      </c>
      <c r="AI333">
        <f t="shared" ref="AI333:AI334" si="406">IF(S333=1,O333-T333,0)</f>
        <v>0</v>
      </c>
      <c r="AJ333">
        <f t="shared" ref="AJ333:AJ334" si="407">IF(S333=2,O333-T333,0)</f>
        <v>0</v>
      </c>
      <c r="AK333">
        <f t="shared" ref="AK333:AK334" si="408">IF(S333=3,O333-T333,0)</f>
        <v>0</v>
      </c>
      <c r="AL333">
        <f t="shared" ref="AL333:AL334" si="409">IF(S333=4,O333-T333,0)</f>
        <v>0</v>
      </c>
      <c r="AN333">
        <f t="shared" ref="AN333:AN334" si="410">IF(S333=1,O333-T333,0)</f>
        <v>0</v>
      </c>
      <c r="AO333">
        <f t="shared" ref="AO333:AO334" si="411">IF(S333=2,O333-T333,0)</f>
        <v>0</v>
      </c>
      <c r="AP333">
        <f t="shared" ref="AP333:AP334" si="412">IF(S333=3,O333-T333,0)</f>
        <v>0</v>
      </c>
      <c r="AQ333">
        <f t="shared" ref="AQ333:AQ334" si="413">IF(S333=4,O333-T333,0)</f>
        <v>0</v>
      </c>
    </row>
    <row r="334" spans="2:43" x14ac:dyDescent="0.3">
      <c r="B334" s="180" t="s">
        <v>1049</v>
      </c>
      <c r="C334" s="229" t="s">
        <v>1050</v>
      </c>
      <c r="D334" s="84" t="s">
        <v>370</v>
      </c>
      <c r="E334" s="84">
        <f t="shared" si="370"/>
        <v>0</v>
      </c>
      <c r="F334" s="85"/>
      <c r="G334" s="85" t="s">
        <v>1048</v>
      </c>
      <c r="H334" s="148">
        <v>5</v>
      </c>
      <c r="I334" s="85"/>
      <c r="J334" s="84" t="s">
        <v>997</v>
      </c>
      <c r="K334" s="84"/>
      <c r="L334" s="114">
        <f>2243.95-2127.95</f>
        <v>116</v>
      </c>
      <c r="M334" s="96" t="s">
        <v>36</v>
      </c>
      <c r="N334" s="85"/>
      <c r="O334" s="107">
        <f>2109.85-150</f>
        <v>1959.85</v>
      </c>
      <c r="P334" s="113">
        <f>ROUND((O334*0.5),2)</f>
        <v>979.93</v>
      </c>
      <c r="Q334" s="84">
        <f t="shared" si="354"/>
        <v>1479.92</v>
      </c>
      <c r="R334" s="57">
        <v>42767</v>
      </c>
      <c r="S334" s="154"/>
      <c r="T334" s="154">
        <f t="shared" si="399"/>
        <v>0</v>
      </c>
      <c r="U334" s="87" t="str">
        <f t="shared" si="400"/>
        <v>NONE</v>
      </c>
      <c r="V334" s="97"/>
      <c r="W334" s="146" t="s">
        <v>25</v>
      </c>
      <c r="X334" s="203">
        <f>Q334+P334</f>
        <v>2459.85</v>
      </c>
      <c r="Y334" s="154"/>
      <c r="Z334" s="113">
        <f t="shared" si="401"/>
        <v>0</v>
      </c>
      <c r="AA334" s="113">
        <f t="shared" si="402"/>
        <v>130</v>
      </c>
      <c r="AB334" s="113"/>
      <c r="AC334" s="155">
        <f t="shared" si="403"/>
        <v>1829.85</v>
      </c>
      <c r="AD334" s="113"/>
      <c r="AE334" s="113">
        <f t="shared" si="404"/>
        <v>0</v>
      </c>
      <c r="AF334" s="113">
        <f>IF(AG334&gt;0,AG203:AG334,0)</f>
        <v>1829.85</v>
      </c>
      <c r="AG334" s="113">
        <f t="shared" si="405"/>
        <v>1829.85</v>
      </c>
      <c r="AI334">
        <f t="shared" si="406"/>
        <v>0</v>
      </c>
      <c r="AJ334">
        <f t="shared" si="407"/>
        <v>0</v>
      </c>
      <c r="AK334">
        <f t="shared" si="408"/>
        <v>0</v>
      </c>
      <c r="AL334">
        <f t="shared" si="409"/>
        <v>0</v>
      </c>
      <c r="AN334">
        <f t="shared" si="410"/>
        <v>0</v>
      </c>
      <c r="AO334">
        <f t="shared" si="411"/>
        <v>0</v>
      </c>
      <c r="AP334">
        <f t="shared" si="412"/>
        <v>0</v>
      </c>
      <c r="AQ334">
        <f t="shared" si="413"/>
        <v>0</v>
      </c>
    </row>
    <row r="335" spans="2:43" x14ac:dyDescent="0.3">
      <c r="B335" s="86"/>
      <c r="C335" s="84"/>
      <c r="D335" s="85"/>
      <c r="E335" s="84">
        <f t="shared" si="370"/>
        <v>0</v>
      </c>
      <c r="F335" s="84"/>
      <c r="G335" s="60"/>
      <c r="H335" s="148"/>
      <c r="I335" s="85"/>
      <c r="J335" s="84"/>
      <c r="K335" s="84"/>
      <c r="L335" s="90"/>
      <c r="M335" s="96" t="s">
        <v>36</v>
      </c>
      <c r="N335" s="84"/>
      <c r="O335" s="107">
        <v>0</v>
      </c>
      <c r="P335" s="113">
        <f t="shared" si="372"/>
        <v>0</v>
      </c>
      <c r="Q335" s="84">
        <f t="shared" si="354"/>
        <v>0</v>
      </c>
      <c r="R335" s="57"/>
      <c r="S335" s="89"/>
      <c r="T335" s="154">
        <f>IF(U335=$AD$2,47,IF(U335=$AD$1,ROUND(((O335+500)*0.039),0),IF(U335=$AD$3,0)))</f>
        <v>0</v>
      </c>
      <c r="U335" s="87" t="str">
        <f>IF(V335=1,$AD$2,IF(V335=2,$AD$1,IF(AND(V335&lt;&gt;1,V335&lt;&gt;20)=TRUE,$AD$3)))</f>
        <v>NONE</v>
      </c>
      <c r="V335" s="97"/>
      <c r="W335" s="90"/>
      <c r="X335" s="89">
        <f t="shared" si="371"/>
        <v>0</v>
      </c>
      <c r="Y335" s="89"/>
      <c r="Z335" s="58">
        <f>IF(W335=$Z$1,Q335-500,0)</f>
        <v>0</v>
      </c>
      <c r="AA335" s="58">
        <f>IF(H335&gt;0,130,0)</f>
        <v>0</v>
      </c>
      <c r="AB335" s="58"/>
      <c r="AC335" s="98">
        <f>(O335+T335)-AA335</f>
        <v>0</v>
      </c>
      <c r="AD335" s="58"/>
      <c r="AE335" s="58">
        <f>IF(H335&gt;0,30*F335,0)</f>
        <v>0</v>
      </c>
      <c r="AF335" s="58">
        <f>IF(AG335&gt;0,AG198:AG335,0)</f>
        <v>0</v>
      </c>
      <c r="AG335" s="58">
        <f>AC335-AE335</f>
        <v>0</v>
      </c>
      <c r="AI335">
        <f>IF(S335=1,O335-T335,0)</f>
        <v>0</v>
      </c>
      <c r="AJ335">
        <f>IF(S335=2,O335-T335,0)</f>
        <v>0</v>
      </c>
      <c r="AK335">
        <f>IF(S335=3,O335-T335,0)</f>
        <v>0</v>
      </c>
      <c r="AL335">
        <f>IF(S335=4,O335-T335,0)</f>
        <v>0</v>
      </c>
      <c r="AN335">
        <f>IF(S335=1,O335-T335,0)</f>
        <v>0</v>
      </c>
      <c r="AO335">
        <f>IF(S335=2,O335-T335,0)</f>
        <v>0</v>
      </c>
      <c r="AP335">
        <f>IF(S335=3,O335-T335,0)</f>
        <v>0</v>
      </c>
      <c r="AQ335">
        <f>IF(S335=4,O335-T335,0)</f>
        <v>0</v>
      </c>
    </row>
    <row r="336" spans="2:43" ht="15.6" x14ac:dyDescent="0.3">
      <c r="B336" s="177"/>
      <c r="C336" s="84"/>
      <c r="D336" s="84"/>
      <c r="E336" s="84">
        <f t="shared" si="370"/>
        <v>0</v>
      </c>
      <c r="F336" s="85"/>
      <c r="G336" s="84"/>
      <c r="H336" s="148"/>
      <c r="I336" s="85"/>
      <c r="J336" s="84"/>
      <c r="K336" s="84"/>
      <c r="L336" s="146"/>
      <c r="M336" s="96" t="s">
        <v>36</v>
      </c>
      <c r="N336" s="85"/>
      <c r="O336" s="107">
        <v>0</v>
      </c>
      <c r="P336" s="113">
        <f t="shared" si="372"/>
        <v>0</v>
      </c>
      <c r="Q336" s="84">
        <f t="shared" si="354"/>
        <v>0</v>
      </c>
      <c r="R336" s="57"/>
      <c r="S336" s="154"/>
      <c r="T336" s="154">
        <f t="shared" ref="T336:T340" si="414">IF(U336=$AD$2,47,IF(U336=$AD$1,ROUND(((O336+500)*0.039),0),IF(U336=$AD$3,0)))</f>
        <v>0</v>
      </c>
      <c r="U336" s="87" t="str">
        <f t="shared" ref="U336:U340" si="415">IF(V336=1,$AD$2,IF(V336=2,$AD$1,IF(AND(V336&lt;&gt;1,V336&lt;&gt;20)=TRUE,$AD$3)))</f>
        <v>NONE</v>
      </c>
      <c r="V336" s="97"/>
      <c r="W336" s="146"/>
      <c r="X336" s="89">
        <f t="shared" si="371"/>
        <v>0</v>
      </c>
      <c r="Y336" s="154"/>
      <c r="Z336" s="113">
        <f t="shared" ref="Z336:Z340" si="416">IF(W336=$Z$1,Q336-500,0)</f>
        <v>0</v>
      </c>
      <c r="AA336" s="113">
        <f t="shared" ref="AA336:AA340" si="417">IF(H336&gt;0,130,0)</f>
        <v>0</v>
      </c>
      <c r="AB336" s="113"/>
      <c r="AC336" s="155">
        <f t="shared" ref="AC336:AC340" si="418">(O336+T336)-AA336</f>
        <v>0</v>
      </c>
      <c r="AD336" s="113"/>
      <c r="AE336" s="113">
        <f t="shared" ref="AE336:AE340" si="419">IF(H336&gt;0,30*F336,0)</f>
        <v>0</v>
      </c>
      <c r="AF336" s="113">
        <f>IF(AG336&gt;0,AG203:AG354,0)</f>
        <v>0</v>
      </c>
      <c r="AG336" s="113">
        <f t="shared" ref="AG336:AG340" si="420">AC336-AE336</f>
        <v>0</v>
      </c>
      <c r="AI336">
        <f t="shared" ref="AI336:AI340" si="421">IF(S336=1,O336-T336,0)</f>
        <v>0</v>
      </c>
      <c r="AJ336">
        <f t="shared" ref="AJ336:AJ340" si="422">IF(S336=2,O336-T336,0)</f>
        <v>0</v>
      </c>
      <c r="AK336">
        <f t="shared" ref="AK336:AK340" si="423">IF(S336=3,O336-T336,0)</f>
        <v>0</v>
      </c>
      <c r="AL336">
        <f t="shared" ref="AL336:AL340" si="424">IF(S336=4,O336-T336,0)</f>
        <v>0</v>
      </c>
      <c r="AN336">
        <f t="shared" ref="AN336:AN340" si="425">IF(S336=1,O336-T336,0)</f>
        <v>0</v>
      </c>
      <c r="AO336">
        <f t="shared" ref="AO336:AO340" si="426">IF(S336=2,O336-T336,0)</f>
        <v>0</v>
      </c>
      <c r="AP336">
        <f t="shared" ref="AP336:AP340" si="427">IF(S336=3,O336-T336,0)</f>
        <v>0</v>
      </c>
      <c r="AQ336">
        <f t="shared" ref="AQ336:AQ340" si="428">IF(S336=4,O336-T336,0)</f>
        <v>0</v>
      </c>
    </row>
    <row r="337" spans="2:43" x14ac:dyDescent="0.3">
      <c r="B337" s="103" t="s">
        <v>82</v>
      </c>
      <c r="C337" s="86"/>
      <c r="D337" s="84" t="s">
        <v>42</v>
      </c>
      <c r="E337" s="84">
        <f t="shared" si="370"/>
        <v>4</v>
      </c>
      <c r="F337" s="84"/>
      <c r="G337" s="248" t="s">
        <v>1113</v>
      </c>
      <c r="H337" s="148">
        <v>4</v>
      </c>
      <c r="I337" s="85"/>
      <c r="J337" s="84"/>
      <c r="K337" s="84"/>
      <c r="L337" s="90"/>
      <c r="M337" s="96" t="s">
        <v>36</v>
      </c>
      <c r="N337" s="84"/>
      <c r="O337" s="107">
        <v>0</v>
      </c>
      <c r="P337" s="113">
        <f t="shared" si="372"/>
        <v>0</v>
      </c>
      <c r="Q337" s="84">
        <f t="shared" si="354"/>
        <v>0</v>
      </c>
      <c r="R337" s="57"/>
      <c r="S337" s="89"/>
      <c r="T337" s="154">
        <f t="shared" si="414"/>
        <v>0</v>
      </c>
      <c r="U337" s="87" t="str">
        <f t="shared" si="415"/>
        <v>NONE</v>
      </c>
      <c r="V337" s="97"/>
      <c r="W337" s="90"/>
      <c r="X337" s="89">
        <f t="shared" si="371"/>
        <v>0</v>
      </c>
      <c r="Y337" s="89"/>
      <c r="Z337" s="58">
        <f t="shared" si="416"/>
        <v>0</v>
      </c>
      <c r="AA337" s="58">
        <f t="shared" si="417"/>
        <v>130</v>
      </c>
      <c r="AB337" s="58"/>
      <c r="AC337" s="98">
        <f t="shared" si="418"/>
        <v>-130</v>
      </c>
      <c r="AD337" s="58"/>
      <c r="AE337" s="58">
        <f t="shared" si="419"/>
        <v>0</v>
      </c>
      <c r="AF337" s="58">
        <f>IF(AG337&gt;0,AG200:AG337,0)</f>
        <v>0</v>
      </c>
      <c r="AG337" s="58">
        <f t="shared" si="420"/>
        <v>-130</v>
      </c>
      <c r="AI337">
        <f t="shared" si="421"/>
        <v>0</v>
      </c>
      <c r="AJ337">
        <f t="shared" si="422"/>
        <v>0</v>
      </c>
      <c r="AK337">
        <f t="shared" si="423"/>
        <v>0</v>
      </c>
      <c r="AL337">
        <f t="shared" si="424"/>
        <v>0</v>
      </c>
      <c r="AN337">
        <f t="shared" si="425"/>
        <v>0</v>
      </c>
      <c r="AO337">
        <f t="shared" si="426"/>
        <v>0</v>
      </c>
      <c r="AP337">
        <f t="shared" si="427"/>
        <v>0</v>
      </c>
      <c r="AQ337">
        <f t="shared" si="428"/>
        <v>0</v>
      </c>
    </row>
    <row r="338" spans="2:43" x14ac:dyDescent="0.3">
      <c r="B338" s="86"/>
      <c r="C338" s="86"/>
      <c r="D338" s="84"/>
      <c r="E338" s="84">
        <f t="shared" si="370"/>
        <v>0</v>
      </c>
      <c r="F338" s="85"/>
      <c r="G338" s="148"/>
      <c r="H338" s="148"/>
      <c r="I338" s="85"/>
      <c r="J338" s="84"/>
      <c r="K338" s="84"/>
      <c r="L338" s="146"/>
      <c r="M338" s="96" t="s">
        <v>36</v>
      </c>
      <c r="N338" s="85"/>
      <c r="O338" s="107">
        <v>0</v>
      </c>
      <c r="P338" s="113">
        <f t="shared" ref="P338" si="429">ROUND((O338*0.4),0)</f>
        <v>0</v>
      </c>
      <c r="Q338" s="84">
        <f t="shared" ref="Q338" si="430">IF(O338&gt;0,((O338+500)-P338)+T338,0)</f>
        <v>0</v>
      </c>
      <c r="R338" s="57"/>
      <c r="S338" s="154"/>
      <c r="T338" s="154">
        <f t="shared" ref="T338" si="431">IF(U338=$AD$2,47,IF(U338=$AD$1,ROUND(((O338+500)*0.039),0),IF(U338=$AD$3,0)))</f>
        <v>0</v>
      </c>
      <c r="U338" s="87" t="str">
        <f t="shared" ref="U338" si="432">IF(V338=1,$AD$2,IF(V338=2,$AD$1,IF(AND(V338&lt;&gt;1,V338&lt;&gt;20)=TRUE,$AD$3)))</f>
        <v>NONE</v>
      </c>
      <c r="V338" s="97"/>
      <c r="W338" s="90"/>
      <c r="X338" s="89">
        <f t="shared" ref="X338" si="433">Q338+P338</f>
        <v>0</v>
      </c>
      <c r="Y338" s="154"/>
      <c r="Z338" s="113">
        <f t="shared" ref="Z338" si="434">IF(W338=$Z$1,Q338-500,0)</f>
        <v>0</v>
      </c>
      <c r="AA338" s="113">
        <f t="shared" ref="AA338" si="435">IF(H338&gt;0,130,0)</f>
        <v>0</v>
      </c>
      <c r="AB338" s="113"/>
      <c r="AC338" s="155">
        <f t="shared" ref="AC338" si="436">(O338+T338)-AA338</f>
        <v>0</v>
      </c>
      <c r="AD338" s="113"/>
      <c r="AE338" s="113">
        <f t="shared" ref="AE338" si="437">IF(H338&gt;0,30*F338,0)</f>
        <v>0</v>
      </c>
      <c r="AF338" s="113">
        <f>IF(AG338&gt;0,AG199:AG349,0)</f>
        <v>0</v>
      </c>
      <c r="AG338" s="113">
        <f t="shared" ref="AG338" si="438">AC338-AE338</f>
        <v>0</v>
      </c>
      <c r="AI338">
        <f t="shared" ref="AI338" si="439">IF(S338=1,O338-T338,0)</f>
        <v>0</v>
      </c>
      <c r="AJ338">
        <f t="shared" ref="AJ338" si="440">IF(S338=2,O338-T338,0)</f>
        <v>0</v>
      </c>
      <c r="AK338">
        <f t="shared" ref="AK338" si="441">IF(S338=3,O338-T338,0)</f>
        <v>0</v>
      </c>
      <c r="AL338">
        <f t="shared" ref="AL338" si="442">IF(S338=4,O338-T338,0)</f>
        <v>0</v>
      </c>
      <c r="AN338">
        <f t="shared" ref="AN338" si="443">IF(S338=1,O338-T338,0)</f>
        <v>0</v>
      </c>
      <c r="AO338">
        <f t="shared" ref="AO338" si="444">IF(S338=2,O338-T338,0)</f>
        <v>0</v>
      </c>
      <c r="AP338">
        <f t="shared" ref="AP338" si="445">IF(S338=3,O338-T338,0)</f>
        <v>0</v>
      </c>
      <c r="AQ338">
        <f t="shared" ref="AQ338" si="446">IF(S338=4,O338-T338,0)</f>
        <v>0</v>
      </c>
    </row>
    <row r="339" spans="2:43" x14ac:dyDescent="0.3">
      <c r="B339" s="276" t="s">
        <v>1077</v>
      </c>
      <c r="C339" s="229" t="s">
        <v>1078</v>
      </c>
      <c r="D339" s="84" t="s">
        <v>616</v>
      </c>
      <c r="E339" s="84">
        <f t="shared" si="370"/>
        <v>0</v>
      </c>
      <c r="F339" s="85"/>
      <c r="G339" s="148" t="s">
        <v>1076</v>
      </c>
      <c r="H339" s="148">
        <v>6</v>
      </c>
      <c r="I339" s="85"/>
      <c r="J339" s="84" t="s">
        <v>945</v>
      </c>
      <c r="K339" s="84"/>
      <c r="L339" s="146"/>
      <c r="M339" s="96" t="s">
        <v>36</v>
      </c>
      <c r="N339" s="85"/>
      <c r="O339" s="107">
        <v>1892.89</v>
      </c>
      <c r="P339" s="113">
        <f>ROUND((O339*0.5),2)</f>
        <v>946.45</v>
      </c>
      <c r="Q339" s="84">
        <f t="shared" si="354"/>
        <v>1446.4400000000003</v>
      </c>
      <c r="R339" s="57">
        <v>43158</v>
      </c>
      <c r="S339" s="154"/>
      <c r="T339" s="154">
        <f t="shared" si="414"/>
        <v>0</v>
      </c>
      <c r="U339" s="87" t="str">
        <f t="shared" si="415"/>
        <v>NONE</v>
      </c>
      <c r="V339" s="97"/>
      <c r="W339" s="90" t="s">
        <v>1125</v>
      </c>
      <c r="X339" s="236">
        <f>Q339+P339</f>
        <v>2392.8900000000003</v>
      </c>
      <c r="Y339" s="154"/>
      <c r="Z339" s="113">
        <f t="shared" si="416"/>
        <v>0</v>
      </c>
      <c r="AA339" s="113">
        <f t="shared" si="417"/>
        <v>130</v>
      </c>
      <c r="AB339" s="113"/>
      <c r="AC339" s="155">
        <f t="shared" si="418"/>
        <v>1762.89</v>
      </c>
      <c r="AD339" s="113"/>
      <c r="AE339" s="113">
        <f t="shared" si="419"/>
        <v>0</v>
      </c>
      <c r="AF339" s="113">
        <f>IF(AG339&gt;0,AG200:AG350,0)</f>
        <v>1762.89</v>
      </c>
      <c r="AG339" s="113">
        <f t="shared" si="420"/>
        <v>1762.89</v>
      </c>
      <c r="AI339">
        <f t="shared" si="421"/>
        <v>0</v>
      </c>
      <c r="AJ339">
        <f t="shared" si="422"/>
        <v>0</v>
      </c>
      <c r="AK339">
        <f t="shared" si="423"/>
        <v>0</v>
      </c>
      <c r="AL339">
        <f t="shared" si="424"/>
        <v>0</v>
      </c>
      <c r="AN339">
        <f t="shared" si="425"/>
        <v>0</v>
      </c>
      <c r="AO339">
        <f t="shared" si="426"/>
        <v>0</v>
      </c>
      <c r="AP339">
        <f t="shared" si="427"/>
        <v>0</v>
      </c>
      <c r="AQ339">
        <f t="shared" si="428"/>
        <v>0</v>
      </c>
    </row>
    <row r="340" spans="2:43" x14ac:dyDescent="0.3">
      <c r="B340" s="86"/>
      <c r="C340" s="229"/>
      <c r="D340" s="84"/>
      <c r="E340" s="84">
        <f t="shared" si="370"/>
        <v>0</v>
      </c>
      <c r="F340" s="85"/>
      <c r="G340" s="148"/>
      <c r="H340" s="148"/>
      <c r="I340" s="85"/>
      <c r="J340" s="84"/>
      <c r="K340" s="84"/>
      <c r="L340" s="146"/>
      <c r="M340" s="96" t="s">
        <v>36</v>
      </c>
      <c r="N340" s="85"/>
      <c r="O340" s="107">
        <v>2365</v>
      </c>
      <c r="P340" s="113">
        <f>ROUND((O340*0.5),0)</f>
        <v>1183</v>
      </c>
      <c r="Q340" s="84">
        <f>IF(O340&gt;0,((O340+500)-P340)+T340,0)</f>
        <v>1682</v>
      </c>
      <c r="R340" s="57"/>
      <c r="S340" s="154"/>
      <c r="T340" s="154">
        <f t="shared" si="414"/>
        <v>0</v>
      </c>
      <c r="U340" s="87" t="str">
        <f t="shared" si="415"/>
        <v>NONE</v>
      </c>
      <c r="V340" s="97"/>
      <c r="W340" s="90"/>
      <c r="X340" s="89">
        <f t="shared" si="371"/>
        <v>2865</v>
      </c>
      <c r="Y340" s="154"/>
      <c r="Z340" s="113">
        <f t="shared" si="416"/>
        <v>0</v>
      </c>
      <c r="AA340" s="113">
        <f t="shared" si="417"/>
        <v>0</v>
      </c>
      <c r="AB340" s="113"/>
      <c r="AC340" s="155">
        <f t="shared" si="418"/>
        <v>2365</v>
      </c>
      <c r="AD340" s="113"/>
      <c r="AE340" s="113">
        <f t="shared" si="419"/>
        <v>0</v>
      </c>
      <c r="AF340" s="113">
        <f>IF(AG340&gt;0,AG201:AG351,0)</f>
        <v>2365</v>
      </c>
      <c r="AG340" s="113">
        <f t="shared" si="420"/>
        <v>2365</v>
      </c>
      <c r="AI340">
        <f t="shared" si="421"/>
        <v>0</v>
      </c>
      <c r="AJ340">
        <f t="shared" si="422"/>
        <v>0</v>
      </c>
      <c r="AK340">
        <f t="shared" si="423"/>
        <v>0</v>
      </c>
      <c r="AL340">
        <f t="shared" si="424"/>
        <v>0</v>
      </c>
      <c r="AN340">
        <f t="shared" si="425"/>
        <v>0</v>
      </c>
      <c r="AO340">
        <f t="shared" si="426"/>
        <v>0</v>
      </c>
      <c r="AP340">
        <f t="shared" si="427"/>
        <v>0</v>
      </c>
      <c r="AQ340">
        <f t="shared" si="428"/>
        <v>0</v>
      </c>
    </row>
    <row r="341" spans="2:43" s="84" customFormat="1" x14ac:dyDescent="0.3">
      <c r="B341" s="277" t="s">
        <v>1046</v>
      </c>
      <c r="C341" s="229" t="s">
        <v>442</v>
      </c>
      <c r="D341" s="84" t="s">
        <v>1044</v>
      </c>
      <c r="E341" s="84">
        <f t="shared" si="370"/>
        <v>0</v>
      </c>
      <c r="G341" s="85" t="s">
        <v>1045</v>
      </c>
      <c r="H341" s="148">
        <v>7</v>
      </c>
      <c r="J341" s="85" t="s">
        <v>945</v>
      </c>
      <c r="L341" s="60"/>
      <c r="M341" s="96" t="s">
        <v>36</v>
      </c>
      <c r="O341" s="107">
        <v>1922</v>
      </c>
      <c r="P341" s="113">
        <f t="shared" si="372"/>
        <v>769</v>
      </c>
      <c r="Q341" s="84">
        <f t="shared" si="354"/>
        <v>1653</v>
      </c>
      <c r="R341" s="266" t="s">
        <v>1047</v>
      </c>
      <c r="S341" s="89"/>
      <c r="T341" s="89">
        <f>IF(U341=$AD$2,47,IF(U341=$AD$1,ROUND(((O341+500)*0.039),0),IF(U341=$AD$3,0)))</f>
        <v>0</v>
      </c>
      <c r="U341" s="87" t="str">
        <f>IF(V341=1,$AD$2,IF(V341=2,$AD$1,IF(AND(V341&lt;&gt;1,V341&lt;&gt;20)=TRUE,$AD$3)))</f>
        <v>NONE</v>
      </c>
      <c r="V341" s="97"/>
      <c r="W341" s="90" t="s">
        <v>1130</v>
      </c>
      <c r="X341" s="89">
        <f>Q341+P341</f>
        <v>2422</v>
      </c>
      <c r="Y341" s="89"/>
      <c r="Z341" s="58">
        <f>IF(W341=$Z$1,Q341-500,0)</f>
        <v>0</v>
      </c>
      <c r="AA341" s="58">
        <f>IF(H341&gt;0,130,0)</f>
        <v>130</v>
      </c>
      <c r="AB341" s="58"/>
      <c r="AC341" s="98">
        <f>(O341+T341)-AA341</f>
        <v>1792</v>
      </c>
      <c r="AD341" s="58"/>
      <c r="AE341" s="58">
        <f>IF(H341&gt;0,30*F341,0)</f>
        <v>0</v>
      </c>
      <c r="AF341" s="58">
        <f>IF(AG341&gt;0,AG205:AG341,0)</f>
        <v>1792</v>
      </c>
      <c r="AG341" s="58">
        <f>AC341-AE341</f>
        <v>1792</v>
      </c>
      <c r="AI341" s="84">
        <f>IF(S341=1,O341-T341,0)</f>
        <v>0</v>
      </c>
      <c r="AJ341" s="84">
        <f>IF(S341=2,O341-T341,0)</f>
        <v>0</v>
      </c>
      <c r="AK341" s="84">
        <f>IF(S341=3,O341-T341,0)</f>
        <v>0</v>
      </c>
      <c r="AL341" s="84">
        <f>IF(S341=4,O341-T341,0)</f>
        <v>0</v>
      </c>
      <c r="AN341" s="84">
        <f>IF(S341=1,O341-T341,0)</f>
        <v>0</v>
      </c>
      <c r="AO341" s="84">
        <f>IF(S341=2,O341-T341,0)</f>
        <v>0</v>
      </c>
      <c r="AP341" s="84">
        <f>IF(S341=3,O341-T341,0)</f>
        <v>0</v>
      </c>
      <c r="AQ341" s="84">
        <f>IF(S341=4,O341-T341,0)</f>
        <v>0</v>
      </c>
    </row>
    <row r="342" spans="2:43" x14ac:dyDescent="0.3">
      <c r="B342" s="86"/>
      <c r="C342" s="86"/>
      <c r="D342" s="84"/>
      <c r="E342" s="84">
        <f t="shared" si="370"/>
        <v>0</v>
      </c>
      <c r="F342" s="85"/>
      <c r="G342" s="85"/>
      <c r="H342" s="148"/>
      <c r="I342" s="85"/>
      <c r="J342" s="84"/>
      <c r="K342" s="84"/>
      <c r="L342" s="146"/>
      <c r="M342" s="96" t="s">
        <v>36</v>
      </c>
      <c r="N342" s="85"/>
      <c r="O342" s="107">
        <v>0</v>
      </c>
      <c r="P342" s="113">
        <f t="shared" si="372"/>
        <v>0</v>
      </c>
      <c r="Q342" s="84">
        <f t="shared" si="354"/>
        <v>0</v>
      </c>
      <c r="R342" s="57"/>
      <c r="S342" s="154"/>
      <c r="T342" s="154">
        <f t="shared" ref="T342:T361" si="447">IF(U342=$AD$2,47,IF(U342=$AD$1,ROUND(((O342+500)*0.039),0),IF(U342=$AD$3,0)))</f>
        <v>0</v>
      </c>
      <c r="U342" s="87" t="str">
        <f t="shared" ref="U342:U361" si="448">IF(V342=1,$AD$2,IF(V342=2,$AD$1,IF(AND(V342&lt;&gt;1,V342&lt;&gt;20)=TRUE,$AD$3)))</f>
        <v>NONE</v>
      </c>
      <c r="V342" s="97"/>
      <c r="W342" s="90"/>
      <c r="X342" s="89">
        <f t="shared" si="371"/>
        <v>0</v>
      </c>
      <c r="Y342" s="154"/>
      <c r="Z342" s="113">
        <f t="shared" ref="Z342:Z343" si="449">IF(W342=$Z$1,Q342-500,0)</f>
        <v>0</v>
      </c>
      <c r="AA342" s="113">
        <f t="shared" ref="AA342:AA361" si="450">IF(H342&gt;0,130,0)</f>
        <v>0</v>
      </c>
      <c r="AB342" s="113"/>
      <c r="AC342" s="155">
        <f t="shared" ref="AC342:AC361" si="451">(O342+T342)-AA342</f>
        <v>0</v>
      </c>
      <c r="AD342" s="113"/>
      <c r="AE342" s="113">
        <f t="shared" ref="AE342:AE361" si="452">IF(H342&gt;0,30*F342,0)</f>
        <v>0</v>
      </c>
      <c r="AF342" s="113">
        <f>IF(AG342&gt;0,AG205:AG342,0)</f>
        <v>0</v>
      </c>
      <c r="AG342" s="113">
        <f t="shared" ref="AG342:AG361" si="453">AC342-AE342</f>
        <v>0</v>
      </c>
      <c r="AI342">
        <f t="shared" ref="AI342:AI361" si="454">IF(S342=1,O342-T342,0)</f>
        <v>0</v>
      </c>
      <c r="AJ342">
        <f t="shared" ref="AJ342:AJ361" si="455">IF(S342=2,O342-T342,0)</f>
        <v>0</v>
      </c>
      <c r="AK342">
        <f t="shared" ref="AK342:AK361" si="456">IF(S342=3,O342-T342,0)</f>
        <v>0</v>
      </c>
      <c r="AL342">
        <f t="shared" ref="AL342:AL361" si="457">IF(S342=4,O342-T342,0)</f>
        <v>0</v>
      </c>
      <c r="AN342">
        <f t="shared" ref="AN342:AN361" si="458">IF(S342=1,O342-T342,0)</f>
        <v>0</v>
      </c>
      <c r="AO342">
        <f t="shared" ref="AO342:AO361" si="459">IF(S342=2,O342-T342,0)</f>
        <v>0</v>
      </c>
      <c r="AP342">
        <f t="shared" ref="AP342:AP361" si="460">IF(S342=3,O342-T342,0)</f>
        <v>0</v>
      </c>
      <c r="AQ342">
        <f t="shared" ref="AQ342:AQ361" si="461">IF(S342=4,O342-T342,0)</f>
        <v>0</v>
      </c>
    </row>
    <row r="343" spans="2:43" s="84" customFormat="1" x14ac:dyDescent="0.3">
      <c r="B343" s="103" t="s">
        <v>82</v>
      </c>
      <c r="C343" s="86"/>
      <c r="D343" s="84" t="s">
        <v>42</v>
      </c>
      <c r="E343" s="84">
        <f t="shared" si="370"/>
        <v>4</v>
      </c>
      <c r="F343" s="85"/>
      <c r="G343" s="148" t="s">
        <v>1008</v>
      </c>
      <c r="H343" s="148">
        <v>4</v>
      </c>
      <c r="I343" s="85"/>
      <c r="L343" s="60"/>
      <c r="M343" s="96" t="s">
        <v>36</v>
      </c>
      <c r="O343" s="107">
        <v>0</v>
      </c>
      <c r="P343" s="113">
        <f t="shared" si="372"/>
        <v>0</v>
      </c>
      <c r="Q343" s="84">
        <f t="shared" si="354"/>
        <v>0</v>
      </c>
      <c r="R343" s="57"/>
      <c r="S343" s="89"/>
      <c r="T343" s="89">
        <f t="shared" si="447"/>
        <v>0</v>
      </c>
      <c r="U343" s="87" t="str">
        <f t="shared" si="448"/>
        <v>NONE</v>
      </c>
      <c r="V343" s="97"/>
      <c r="W343" s="90"/>
      <c r="X343" s="89">
        <f t="shared" si="371"/>
        <v>0</v>
      </c>
      <c r="Y343" s="89"/>
      <c r="Z343" s="58">
        <f t="shared" si="449"/>
        <v>0</v>
      </c>
      <c r="AA343" s="58">
        <f t="shared" si="450"/>
        <v>130</v>
      </c>
      <c r="AB343" s="58"/>
      <c r="AC343" s="98">
        <f t="shared" si="451"/>
        <v>-130</v>
      </c>
      <c r="AD343" s="58"/>
      <c r="AE343" s="58">
        <f t="shared" si="452"/>
        <v>0</v>
      </c>
      <c r="AF343" s="58">
        <f>IF(AG343&gt;0,AG207:AG343,0)</f>
        <v>0</v>
      </c>
      <c r="AG343" s="58">
        <f t="shared" si="453"/>
        <v>-130</v>
      </c>
      <c r="AI343" s="84">
        <f t="shared" si="454"/>
        <v>0</v>
      </c>
      <c r="AJ343" s="84">
        <f t="shared" si="455"/>
        <v>0</v>
      </c>
      <c r="AK343" s="84">
        <f t="shared" si="456"/>
        <v>0</v>
      </c>
      <c r="AL343" s="84">
        <f t="shared" si="457"/>
        <v>0</v>
      </c>
      <c r="AN343" s="84">
        <f t="shared" si="458"/>
        <v>0</v>
      </c>
      <c r="AO343" s="84">
        <f t="shared" si="459"/>
        <v>0</v>
      </c>
      <c r="AP343" s="84">
        <f t="shared" si="460"/>
        <v>0</v>
      </c>
      <c r="AQ343" s="84">
        <f t="shared" si="461"/>
        <v>0</v>
      </c>
    </row>
    <row r="344" spans="2:43" ht="15.75" customHeight="1" x14ac:dyDescent="0.3">
      <c r="B344" s="86"/>
      <c r="C344" s="86"/>
      <c r="D344" s="84"/>
      <c r="E344" s="84">
        <f t="shared" si="370"/>
        <v>0</v>
      </c>
      <c r="F344" s="85"/>
      <c r="G344" s="85"/>
      <c r="H344" s="148"/>
      <c r="I344" s="85"/>
      <c r="J344" s="84"/>
      <c r="K344" s="84"/>
      <c r="L344" s="146"/>
      <c r="M344" s="96" t="s">
        <v>36</v>
      </c>
      <c r="N344" s="85"/>
      <c r="O344" s="107">
        <v>0</v>
      </c>
      <c r="P344" s="113">
        <f t="shared" si="372"/>
        <v>0</v>
      </c>
      <c r="Q344" s="84">
        <f t="shared" si="354"/>
        <v>0</v>
      </c>
      <c r="R344" s="57"/>
      <c r="S344" s="154"/>
      <c r="T344" s="154">
        <f t="shared" si="447"/>
        <v>0</v>
      </c>
      <c r="U344" s="87" t="str">
        <f t="shared" si="448"/>
        <v>NONE</v>
      </c>
      <c r="V344" s="97"/>
      <c r="W344" s="146"/>
      <c r="X344" s="89">
        <f t="shared" si="371"/>
        <v>0</v>
      </c>
      <c r="Y344" s="154"/>
      <c r="Z344" s="113">
        <f>IF(W344=$Z$1,Q344-500,0)</f>
        <v>0</v>
      </c>
      <c r="AA344" s="113">
        <f t="shared" si="450"/>
        <v>0</v>
      </c>
      <c r="AB344" s="113"/>
      <c r="AC344" s="155">
        <f t="shared" si="451"/>
        <v>0</v>
      </c>
      <c r="AD344" s="113"/>
      <c r="AE344" s="113">
        <f t="shared" si="452"/>
        <v>0</v>
      </c>
      <c r="AF344" s="113">
        <f>IF(AG344&gt;0,AG203:AG344,0)</f>
        <v>0</v>
      </c>
      <c r="AG344" s="113">
        <f t="shared" si="453"/>
        <v>0</v>
      </c>
      <c r="AI344">
        <f t="shared" si="454"/>
        <v>0</v>
      </c>
      <c r="AJ344">
        <f t="shared" si="455"/>
        <v>0</v>
      </c>
      <c r="AK344">
        <f t="shared" si="456"/>
        <v>0</v>
      </c>
      <c r="AL344">
        <f t="shared" si="457"/>
        <v>0</v>
      </c>
      <c r="AN344">
        <f t="shared" si="458"/>
        <v>0</v>
      </c>
      <c r="AO344">
        <f t="shared" si="459"/>
        <v>0</v>
      </c>
      <c r="AP344">
        <f t="shared" si="460"/>
        <v>0</v>
      </c>
      <c r="AQ344">
        <f t="shared" si="461"/>
        <v>0</v>
      </c>
    </row>
    <row r="345" spans="2:43" x14ac:dyDescent="0.3">
      <c r="B345" s="181" t="s">
        <v>1057</v>
      </c>
      <c r="C345" s="229" t="s">
        <v>1058</v>
      </c>
      <c r="D345" s="84" t="s">
        <v>822</v>
      </c>
      <c r="E345" s="84">
        <f t="shared" si="370"/>
        <v>0</v>
      </c>
      <c r="F345" s="85"/>
      <c r="G345" s="85" t="s">
        <v>1056</v>
      </c>
      <c r="H345" s="148">
        <v>7</v>
      </c>
      <c r="I345" s="85"/>
      <c r="J345" s="84" t="s">
        <v>1059</v>
      </c>
      <c r="K345" s="84"/>
      <c r="L345" s="146"/>
      <c r="M345" s="96" t="s">
        <v>36</v>
      </c>
      <c r="N345" s="85"/>
      <c r="O345" s="107">
        <v>1562</v>
      </c>
      <c r="P345" s="113">
        <f>ROUND((O345*0.5),0)</f>
        <v>781</v>
      </c>
      <c r="Q345" s="84">
        <f t="shared" si="354"/>
        <v>1281</v>
      </c>
      <c r="R345" s="57">
        <v>42839</v>
      </c>
      <c r="S345" s="154"/>
      <c r="T345" s="154">
        <f t="shared" si="447"/>
        <v>0</v>
      </c>
      <c r="U345" s="87" t="str">
        <f t="shared" si="448"/>
        <v>NONE</v>
      </c>
      <c r="V345" s="97"/>
      <c r="W345" s="146" t="s">
        <v>1131</v>
      </c>
      <c r="X345" s="89">
        <f t="shared" si="371"/>
        <v>2062</v>
      </c>
      <c r="Y345" s="154"/>
      <c r="Z345" s="113">
        <f t="shared" ref="Z345:Z361" si="462">IF(W345=$Z$1,Q345-500,0)</f>
        <v>0</v>
      </c>
      <c r="AA345" s="113">
        <f t="shared" si="450"/>
        <v>130</v>
      </c>
      <c r="AB345" s="113"/>
      <c r="AC345" s="155">
        <f t="shared" si="451"/>
        <v>1432</v>
      </c>
      <c r="AD345" s="113"/>
      <c r="AE345" s="113">
        <f t="shared" si="452"/>
        <v>0</v>
      </c>
      <c r="AF345" s="113">
        <f>IF(AG345&gt;0,AG205:AG345,0)</f>
        <v>1432</v>
      </c>
      <c r="AG345" s="113">
        <f t="shared" si="453"/>
        <v>1432</v>
      </c>
      <c r="AI345">
        <f t="shared" si="454"/>
        <v>0</v>
      </c>
      <c r="AJ345">
        <f t="shared" si="455"/>
        <v>0</v>
      </c>
      <c r="AK345">
        <f t="shared" si="456"/>
        <v>0</v>
      </c>
      <c r="AL345">
        <f t="shared" si="457"/>
        <v>0</v>
      </c>
      <c r="AN345">
        <f t="shared" si="458"/>
        <v>0</v>
      </c>
      <c r="AO345">
        <f t="shared" si="459"/>
        <v>0</v>
      </c>
      <c r="AP345">
        <f t="shared" si="460"/>
        <v>0</v>
      </c>
      <c r="AQ345">
        <f t="shared" si="461"/>
        <v>0</v>
      </c>
    </row>
    <row r="346" spans="2:43" x14ac:dyDescent="0.3">
      <c r="B346" s="84" t="s">
        <v>1122</v>
      </c>
      <c r="C346" s="229" t="s">
        <v>1121</v>
      </c>
      <c r="D346" s="84" t="s">
        <v>370</v>
      </c>
      <c r="E346" s="84">
        <f t="shared" si="370"/>
        <v>0</v>
      </c>
      <c r="F346" s="85"/>
      <c r="G346" s="148" t="s">
        <v>1119</v>
      </c>
      <c r="H346" s="148">
        <v>6</v>
      </c>
      <c r="I346" s="85"/>
      <c r="J346" s="84" t="s">
        <v>1120</v>
      </c>
      <c r="K346" s="84"/>
      <c r="L346" s="146"/>
      <c r="M346" s="96" t="s">
        <v>36</v>
      </c>
      <c r="N346" s="85"/>
      <c r="O346" s="107">
        <v>2806.53</v>
      </c>
      <c r="P346" s="113">
        <v>2806.53</v>
      </c>
      <c r="Q346" s="84">
        <v>0</v>
      </c>
      <c r="R346" s="170" t="s">
        <v>1123</v>
      </c>
      <c r="S346" s="154"/>
      <c r="T346" s="154">
        <f t="shared" si="447"/>
        <v>0</v>
      </c>
      <c r="U346" s="87" t="str">
        <f t="shared" si="448"/>
        <v>NONE</v>
      </c>
      <c r="V346" s="97"/>
      <c r="W346" s="109" t="s">
        <v>1132</v>
      </c>
      <c r="X346" s="89">
        <f t="shared" si="371"/>
        <v>2806.53</v>
      </c>
      <c r="Y346" s="154"/>
      <c r="Z346" s="113">
        <f t="shared" si="462"/>
        <v>0</v>
      </c>
      <c r="AA346" s="113">
        <f t="shared" si="450"/>
        <v>130</v>
      </c>
      <c r="AB346" s="113"/>
      <c r="AC346" s="155">
        <f t="shared" si="451"/>
        <v>2676.53</v>
      </c>
      <c r="AD346" s="113"/>
      <c r="AE346" s="113">
        <f t="shared" si="452"/>
        <v>0</v>
      </c>
      <c r="AF346" s="113">
        <f>IF(AG346&gt;0,AG205:AG355,0)</f>
        <v>2676.53</v>
      </c>
      <c r="AG346" s="113">
        <f t="shared" si="453"/>
        <v>2676.53</v>
      </c>
      <c r="AI346">
        <f t="shared" si="454"/>
        <v>0</v>
      </c>
      <c r="AJ346">
        <f t="shared" si="455"/>
        <v>0</v>
      </c>
      <c r="AK346">
        <f t="shared" si="456"/>
        <v>0</v>
      </c>
      <c r="AL346">
        <f t="shared" si="457"/>
        <v>0</v>
      </c>
      <c r="AN346">
        <f t="shared" si="458"/>
        <v>0</v>
      </c>
      <c r="AO346">
        <f t="shared" si="459"/>
        <v>0</v>
      </c>
      <c r="AP346">
        <f t="shared" si="460"/>
        <v>0</v>
      </c>
      <c r="AQ346">
        <f t="shared" si="461"/>
        <v>0</v>
      </c>
    </row>
    <row r="347" spans="2:43" ht="13.2" customHeight="1" x14ac:dyDescent="0.3">
      <c r="B347" s="103" t="s">
        <v>82</v>
      </c>
      <c r="C347" s="86"/>
      <c r="D347" s="84" t="s">
        <v>1009</v>
      </c>
      <c r="E347" s="84">
        <f t="shared" si="370"/>
        <v>0</v>
      </c>
      <c r="F347" s="85"/>
      <c r="G347" s="199" t="s">
        <v>1101</v>
      </c>
      <c r="H347" s="148">
        <v>5</v>
      </c>
      <c r="I347" s="85"/>
      <c r="J347" s="84"/>
      <c r="K347" s="84"/>
      <c r="L347" s="146"/>
      <c r="M347" s="96" t="s">
        <v>36</v>
      </c>
      <c r="N347" s="85"/>
      <c r="O347" s="107">
        <v>0</v>
      </c>
      <c r="P347" s="113">
        <f t="shared" si="372"/>
        <v>0</v>
      </c>
      <c r="Q347" s="84">
        <f t="shared" si="354"/>
        <v>0</v>
      </c>
      <c r="R347" s="57"/>
      <c r="S347" s="154"/>
      <c r="T347" s="154">
        <f t="shared" si="447"/>
        <v>0</v>
      </c>
      <c r="U347" s="87" t="str">
        <f t="shared" si="448"/>
        <v>NONE</v>
      </c>
      <c r="V347" s="97"/>
      <c r="W347" s="146"/>
      <c r="X347" s="89">
        <f t="shared" si="371"/>
        <v>0</v>
      </c>
      <c r="Y347" s="154"/>
      <c r="Z347" s="113">
        <f t="shared" si="462"/>
        <v>0</v>
      </c>
      <c r="AA347" s="113">
        <f t="shared" si="450"/>
        <v>130</v>
      </c>
      <c r="AB347" s="113"/>
      <c r="AC347" s="155">
        <f t="shared" si="451"/>
        <v>-130</v>
      </c>
      <c r="AD347" s="113"/>
      <c r="AE347" s="113">
        <f t="shared" si="452"/>
        <v>0</v>
      </c>
      <c r="AF347" s="113">
        <f>IF(AG347&gt;0,AG208:AG347,0)</f>
        <v>0</v>
      </c>
      <c r="AG347" s="113">
        <f t="shared" si="453"/>
        <v>-130</v>
      </c>
      <c r="AI347">
        <f t="shared" si="454"/>
        <v>0</v>
      </c>
      <c r="AJ347">
        <f t="shared" si="455"/>
        <v>0</v>
      </c>
      <c r="AK347">
        <f t="shared" si="456"/>
        <v>0</v>
      </c>
      <c r="AL347">
        <f t="shared" si="457"/>
        <v>0</v>
      </c>
      <c r="AN347">
        <f t="shared" si="458"/>
        <v>0</v>
      </c>
      <c r="AO347">
        <f t="shared" si="459"/>
        <v>0</v>
      </c>
      <c r="AP347">
        <f t="shared" si="460"/>
        <v>0</v>
      </c>
      <c r="AQ347">
        <f t="shared" si="461"/>
        <v>0</v>
      </c>
    </row>
    <row r="348" spans="2:43" s="84" customFormat="1" x14ac:dyDescent="0.3">
      <c r="B348" s="86"/>
      <c r="E348" s="84">
        <f t="shared" si="370"/>
        <v>0</v>
      </c>
      <c r="H348" s="148"/>
      <c r="I348" s="85"/>
      <c r="L348" s="109"/>
      <c r="M348" s="96" t="s">
        <v>36</v>
      </c>
      <c r="O348" s="107">
        <v>0</v>
      </c>
      <c r="P348" s="113">
        <f t="shared" si="372"/>
        <v>0</v>
      </c>
      <c r="Q348" s="84">
        <f t="shared" si="354"/>
        <v>0</v>
      </c>
      <c r="R348" s="57"/>
      <c r="S348" s="89"/>
      <c r="T348" s="89">
        <f t="shared" si="447"/>
        <v>0</v>
      </c>
      <c r="U348" s="87" t="str">
        <f t="shared" si="448"/>
        <v>NONE</v>
      </c>
      <c r="V348" s="97"/>
      <c r="W348" s="90"/>
      <c r="X348" s="89">
        <f t="shared" si="371"/>
        <v>0</v>
      </c>
      <c r="Y348" s="89"/>
      <c r="Z348" s="58">
        <f t="shared" si="462"/>
        <v>0</v>
      </c>
      <c r="AA348" s="58">
        <f t="shared" si="450"/>
        <v>0</v>
      </c>
      <c r="AB348" s="58"/>
      <c r="AC348" s="98">
        <f t="shared" si="451"/>
        <v>0</v>
      </c>
      <c r="AD348" s="58"/>
      <c r="AE348" s="58">
        <f t="shared" si="452"/>
        <v>0</v>
      </c>
      <c r="AF348" s="58">
        <f>IF(AG348&gt;0,AG208:AG348,0)</f>
        <v>0</v>
      </c>
      <c r="AG348" s="58">
        <f t="shared" si="453"/>
        <v>0</v>
      </c>
      <c r="AI348" s="84">
        <f t="shared" si="454"/>
        <v>0</v>
      </c>
      <c r="AJ348" s="84">
        <f t="shared" si="455"/>
        <v>0</v>
      </c>
      <c r="AK348" s="84">
        <f t="shared" si="456"/>
        <v>0</v>
      </c>
      <c r="AL348" s="84">
        <f t="shared" si="457"/>
        <v>0</v>
      </c>
      <c r="AN348" s="84">
        <f t="shared" si="458"/>
        <v>0</v>
      </c>
      <c r="AO348" s="84">
        <f t="shared" si="459"/>
        <v>0</v>
      </c>
      <c r="AP348" s="84">
        <f t="shared" si="460"/>
        <v>0</v>
      </c>
      <c r="AQ348" s="84">
        <f t="shared" si="461"/>
        <v>0</v>
      </c>
    </row>
    <row r="349" spans="2:43" x14ac:dyDescent="0.3">
      <c r="B349" s="279" t="s">
        <v>1104</v>
      </c>
      <c r="C349" s="229" t="s">
        <v>1105</v>
      </c>
      <c r="D349" s="84" t="s">
        <v>370</v>
      </c>
      <c r="E349" s="84">
        <f t="shared" si="370"/>
        <v>0</v>
      </c>
      <c r="F349" s="85"/>
      <c r="G349" s="84" t="s">
        <v>1103</v>
      </c>
      <c r="H349" s="148">
        <v>5</v>
      </c>
      <c r="I349" s="85"/>
      <c r="J349" s="84" t="s">
        <v>938</v>
      </c>
      <c r="K349" s="84"/>
      <c r="L349" s="146"/>
      <c r="M349" s="96" t="s">
        <v>36</v>
      </c>
      <c r="N349" s="85"/>
      <c r="O349" s="107">
        <f>P349+Q349-500</f>
        <v>1530.9499999999998</v>
      </c>
      <c r="P349" s="113">
        <f>896.43-131</f>
        <v>765.43</v>
      </c>
      <c r="Q349" s="84">
        <v>1265.52</v>
      </c>
      <c r="R349" s="57">
        <v>43222</v>
      </c>
      <c r="S349" s="154"/>
      <c r="T349" s="154">
        <f t="shared" si="447"/>
        <v>0</v>
      </c>
      <c r="U349" s="87" t="str">
        <f t="shared" si="448"/>
        <v>NONE</v>
      </c>
      <c r="V349" s="97"/>
      <c r="W349" s="146" t="s">
        <v>958</v>
      </c>
      <c r="X349" s="222">
        <f t="shared" si="371"/>
        <v>2030.9499999999998</v>
      </c>
      <c r="Y349" s="154"/>
      <c r="Z349" s="113">
        <f t="shared" si="462"/>
        <v>0</v>
      </c>
      <c r="AA349" s="113">
        <f t="shared" si="450"/>
        <v>130</v>
      </c>
      <c r="AB349" s="113"/>
      <c r="AC349" s="155">
        <f t="shared" si="451"/>
        <v>1400.9499999999998</v>
      </c>
      <c r="AD349" s="113"/>
      <c r="AE349" s="113">
        <f t="shared" si="452"/>
        <v>0</v>
      </c>
      <c r="AF349" s="113">
        <f>IF(AG349&gt;0,AG209:AG349,0)</f>
        <v>1400.9499999999998</v>
      </c>
      <c r="AG349" s="113">
        <f t="shared" si="453"/>
        <v>1400.9499999999998</v>
      </c>
      <c r="AI349">
        <f t="shared" si="454"/>
        <v>0</v>
      </c>
      <c r="AJ349">
        <f t="shared" si="455"/>
        <v>0</v>
      </c>
      <c r="AK349">
        <f t="shared" si="456"/>
        <v>0</v>
      </c>
      <c r="AL349">
        <f t="shared" si="457"/>
        <v>0</v>
      </c>
      <c r="AN349">
        <f t="shared" si="458"/>
        <v>0</v>
      </c>
      <c r="AO349">
        <f t="shared" si="459"/>
        <v>0</v>
      </c>
      <c r="AP349">
        <f t="shared" si="460"/>
        <v>0</v>
      </c>
      <c r="AQ349">
        <f t="shared" si="461"/>
        <v>0</v>
      </c>
    </row>
    <row r="350" spans="2:43" x14ac:dyDescent="0.3">
      <c r="B350" s="84"/>
      <c r="C350" s="84"/>
      <c r="D350" s="84"/>
      <c r="E350" s="84"/>
      <c r="F350" s="85"/>
      <c r="G350" s="84"/>
      <c r="H350" s="148"/>
      <c r="I350" s="85"/>
      <c r="J350" s="84"/>
      <c r="K350" s="84"/>
      <c r="L350" s="146"/>
      <c r="M350" s="96" t="s">
        <v>36</v>
      </c>
      <c r="N350" s="85"/>
      <c r="O350" s="107">
        <v>0</v>
      </c>
      <c r="P350" s="113">
        <v>0</v>
      </c>
      <c r="Q350" s="84">
        <v>0</v>
      </c>
      <c r="R350" s="57"/>
      <c r="S350" s="154"/>
      <c r="T350" s="154">
        <f t="shared" si="447"/>
        <v>0</v>
      </c>
      <c r="U350" s="87" t="str">
        <f t="shared" si="448"/>
        <v>NONE</v>
      </c>
      <c r="V350" s="97"/>
      <c r="W350" s="90"/>
      <c r="X350" s="89">
        <f t="shared" si="371"/>
        <v>0</v>
      </c>
      <c r="Y350" s="154"/>
      <c r="Z350" s="113">
        <f t="shared" si="462"/>
        <v>0</v>
      </c>
      <c r="AA350" s="113">
        <f t="shared" si="450"/>
        <v>0</v>
      </c>
      <c r="AB350" s="113"/>
      <c r="AC350" s="155">
        <f t="shared" si="451"/>
        <v>0</v>
      </c>
      <c r="AD350" s="113"/>
      <c r="AE350" s="113">
        <f t="shared" si="452"/>
        <v>0</v>
      </c>
      <c r="AF350" s="113">
        <f>IF(AG350&gt;0,AG208:AG355,0)</f>
        <v>0</v>
      </c>
      <c r="AG350" s="113">
        <f t="shared" si="453"/>
        <v>0</v>
      </c>
      <c r="AI350">
        <f t="shared" si="454"/>
        <v>0</v>
      </c>
      <c r="AJ350">
        <f t="shared" si="455"/>
        <v>0</v>
      </c>
      <c r="AK350">
        <f t="shared" si="456"/>
        <v>0</v>
      </c>
      <c r="AL350">
        <f t="shared" si="457"/>
        <v>0</v>
      </c>
      <c r="AN350">
        <f t="shared" si="458"/>
        <v>0</v>
      </c>
      <c r="AO350">
        <f t="shared" si="459"/>
        <v>0</v>
      </c>
      <c r="AP350">
        <f t="shared" si="460"/>
        <v>0</v>
      </c>
      <c r="AQ350">
        <f t="shared" si="461"/>
        <v>0</v>
      </c>
    </row>
    <row r="351" spans="2:43" ht="13.8" customHeight="1" x14ac:dyDescent="0.3">
      <c r="B351" s="103" t="s">
        <v>82</v>
      </c>
      <c r="C351" s="86"/>
      <c r="D351" s="84" t="s">
        <v>42</v>
      </c>
      <c r="E351" s="84">
        <f t="shared" si="370"/>
        <v>31</v>
      </c>
      <c r="F351" s="85"/>
      <c r="G351" s="148" t="s">
        <v>1102</v>
      </c>
      <c r="H351" s="148">
        <v>31</v>
      </c>
      <c r="I351" s="85"/>
      <c r="J351" s="84"/>
      <c r="K351" s="84"/>
      <c r="L351" s="146"/>
      <c r="M351" s="96" t="s">
        <v>36</v>
      </c>
      <c r="N351" s="85"/>
      <c r="O351" s="107">
        <v>0</v>
      </c>
      <c r="P351" s="113">
        <f t="shared" si="372"/>
        <v>0</v>
      </c>
      <c r="Q351" s="84">
        <f t="shared" si="354"/>
        <v>0</v>
      </c>
      <c r="R351" s="57"/>
      <c r="S351" s="154"/>
      <c r="T351" s="154">
        <f t="shared" si="447"/>
        <v>0</v>
      </c>
      <c r="U351" s="87" t="str">
        <f t="shared" si="448"/>
        <v>NONE</v>
      </c>
      <c r="V351" s="97"/>
      <c r="W351" s="90"/>
      <c r="X351" s="89">
        <f t="shared" si="371"/>
        <v>0</v>
      </c>
      <c r="Y351" s="154"/>
      <c r="Z351" s="113">
        <f t="shared" si="462"/>
        <v>0</v>
      </c>
      <c r="AA351" s="113">
        <f t="shared" si="450"/>
        <v>130</v>
      </c>
      <c r="AB351" s="113"/>
      <c r="AC351" s="155">
        <f t="shared" si="451"/>
        <v>-130</v>
      </c>
      <c r="AD351" s="113"/>
      <c r="AE351" s="113">
        <f t="shared" si="452"/>
        <v>0</v>
      </c>
      <c r="AF351" s="113">
        <f>IF(AG351&gt;0,AG210:AG351,0)</f>
        <v>0</v>
      </c>
      <c r="AG351" s="113">
        <f t="shared" si="453"/>
        <v>-130</v>
      </c>
      <c r="AI351">
        <f t="shared" si="454"/>
        <v>0</v>
      </c>
      <c r="AJ351">
        <f t="shared" si="455"/>
        <v>0</v>
      </c>
      <c r="AK351">
        <f t="shared" si="456"/>
        <v>0</v>
      </c>
      <c r="AL351">
        <f t="shared" si="457"/>
        <v>0</v>
      </c>
      <c r="AN351">
        <f t="shared" si="458"/>
        <v>0</v>
      </c>
      <c r="AO351">
        <f t="shared" si="459"/>
        <v>0</v>
      </c>
      <c r="AP351">
        <f t="shared" si="460"/>
        <v>0</v>
      </c>
      <c r="AQ351">
        <f t="shared" si="461"/>
        <v>0</v>
      </c>
    </row>
    <row r="352" spans="2:43" x14ac:dyDescent="0.3">
      <c r="B352" s="280" t="s">
        <v>1138</v>
      </c>
      <c r="C352" s="281" t="s">
        <v>1133</v>
      </c>
      <c r="D352" s="129" t="s">
        <v>1134</v>
      </c>
      <c r="E352" s="129">
        <f t="shared" si="370"/>
        <v>0</v>
      </c>
      <c r="F352" s="269"/>
      <c r="G352" s="270" t="s">
        <v>1135</v>
      </c>
      <c r="H352" s="270">
        <v>6</v>
      </c>
      <c r="I352" s="269"/>
      <c r="J352" s="129" t="s">
        <v>1136</v>
      </c>
      <c r="K352" s="84"/>
      <c r="L352" s="146"/>
      <c r="M352" s="96" t="s">
        <v>36</v>
      </c>
      <c r="N352" s="85"/>
      <c r="O352" s="107">
        <v>1921</v>
      </c>
      <c r="P352" s="113">
        <v>0</v>
      </c>
      <c r="Q352" s="84">
        <f t="shared" si="354"/>
        <v>2421</v>
      </c>
      <c r="R352" s="57"/>
      <c r="S352" s="154"/>
      <c r="T352" s="154">
        <f t="shared" si="447"/>
        <v>0</v>
      </c>
      <c r="U352" s="87" t="str">
        <f t="shared" si="448"/>
        <v>NONE</v>
      </c>
      <c r="V352" s="97"/>
      <c r="W352" s="282" t="s">
        <v>1137</v>
      </c>
      <c r="X352" s="89">
        <f t="shared" si="371"/>
        <v>2421</v>
      </c>
      <c r="Y352" s="154"/>
      <c r="Z352" s="113">
        <f t="shared" si="462"/>
        <v>0</v>
      </c>
      <c r="AA352" s="113">
        <f t="shared" si="450"/>
        <v>130</v>
      </c>
      <c r="AB352" s="113"/>
      <c r="AC352" s="155">
        <f t="shared" si="451"/>
        <v>1791</v>
      </c>
      <c r="AD352" s="113"/>
      <c r="AE352" s="113">
        <f t="shared" si="452"/>
        <v>0</v>
      </c>
      <c r="AF352" s="113">
        <f>IF(AG352&gt;0,AG208:AG352,0)</f>
        <v>1791</v>
      </c>
      <c r="AG352" s="113">
        <f t="shared" si="453"/>
        <v>1791</v>
      </c>
      <c r="AI352">
        <f t="shared" si="454"/>
        <v>0</v>
      </c>
      <c r="AJ352">
        <f t="shared" si="455"/>
        <v>0</v>
      </c>
      <c r="AK352">
        <f t="shared" si="456"/>
        <v>0</v>
      </c>
      <c r="AL352">
        <f t="shared" si="457"/>
        <v>0</v>
      </c>
      <c r="AN352">
        <f t="shared" si="458"/>
        <v>0</v>
      </c>
      <c r="AO352">
        <f t="shared" si="459"/>
        <v>0</v>
      </c>
      <c r="AP352">
        <f t="shared" si="460"/>
        <v>0</v>
      </c>
      <c r="AQ352">
        <f t="shared" si="461"/>
        <v>0</v>
      </c>
    </row>
    <row r="353" spans="1:44" x14ac:dyDescent="0.3">
      <c r="B353" s="86"/>
      <c r="C353" s="229"/>
      <c r="D353" s="84"/>
      <c r="E353" s="84">
        <f t="shared" si="370"/>
        <v>0</v>
      </c>
      <c r="F353" s="85"/>
      <c r="G353" s="148"/>
      <c r="H353" s="148"/>
      <c r="I353" s="85"/>
      <c r="J353" s="84"/>
      <c r="K353" s="84"/>
      <c r="L353" s="146"/>
      <c r="M353" s="96" t="s">
        <v>36</v>
      </c>
      <c r="N353" s="85"/>
      <c r="O353" s="107">
        <v>0</v>
      </c>
      <c r="P353" s="113">
        <v>0</v>
      </c>
      <c r="Q353" s="84">
        <f t="shared" si="354"/>
        <v>0</v>
      </c>
      <c r="R353" s="57"/>
      <c r="S353" s="154"/>
      <c r="T353" s="154">
        <f t="shared" si="447"/>
        <v>0</v>
      </c>
      <c r="U353" s="87" t="str">
        <f t="shared" si="448"/>
        <v>NONE</v>
      </c>
      <c r="V353" s="97"/>
      <c r="W353" s="146"/>
      <c r="X353" s="89">
        <f t="shared" si="371"/>
        <v>0</v>
      </c>
      <c r="Y353" s="154"/>
      <c r="Z353" s="113">
        <f t="shared" si="462"/>
        <v>0</v>
      </c>
      <c r="AA353" s="113">
        <f t="shared" si="450"/>
        <v>0</v>
      </c>
      <c r="AB353" s="113"/>
      <c r="AC353" s="155">
        <f t="shared" si="451"/>
        <v>0</v>
      </c>
      <c r="AD353" s="113"/>
      <c r="AE353" s="113">
        <f t="shared" si="452"/>
        <v>0</v>
      </c>
      <c r="AF353" s="113">
        <f>IF(AG353&gt;0,AG210:AG357,0)</f>
        <v>0</v>
      </c>
      <c r="AG353" s="113">
        <f t="shared" si="453"/>
        <v>0</v>
      </c>
      <c r="AI353">
        <f t="shared" si="454"/>
        <v>0</v>
      </c>
      <c r="AJ353">
        <f t="shared" si="455"/>
        <v>0</v>
      </c>
      <c r="AK353">
        <f t="shared" si="456"/>
        <v>0</v>
      </c>
      <c r="AL353">
        <f t="shared" si="457"/>
        <v>0</v>
      </c>
      <c r="AN353">
        <f t="shared" si="458"/>
        <v>0</v>
      </c>
      <c r="AO353">
        <f t="shared" si="459"/>
        <v>0</v>
      </c>
      <c r="AP353">
        <f t="shared" si="460"/>
        <v>0</v>
      </c>
      <c r="AQ353">
        <f t="shared" si="461"/>
        <v>0</v>
      </c>
    </row>
    <row r="354" spans="1:44" x14ac:dyDescent="0.3">
      <c r="B354" s="103" t="s">
        <v>82</v>
      </c>
      <c r="C354" s="86"/>
      <c r="D354" s="84" t="s">
        <v>42</v>
      </c>
      <c r="E354" s="84">
        <f t="shared" si="370"/>
        <v>3</v>
      </c>
      <c r="F354" s="85"/>
      <c r="G354" s="84" t="s">
        <v>1010</v>
      </c>
      <c r="H354" s="148">
        <v>3</v>
      </c>
      <c r="I354" s="85"/>
      <c r="J354" s="84"/>
      <c r="K354" s="84"/>
      <c r="L354" s="146"/>
      <c r="M354" s="96" t="s">
        <v>36</v>
      </c>
      <c r="N354" s="85"/>
      <c r="O354" s="107">
        <v>0</v>
      </c>
      <c r="P354" s="113">
        <f t="shared" si="372"/>
        <v>0</v>
      </c>
      <c r="Q354" s="84">
        <f t="shared" si="354"/>
        <v>0</v>
      </c>
      <c r="R354" s="57"/>
      <c r="S354" s="154"/>
      <c r="T354" s="154">
        <f t="shared" si="447"/>
        <v>0</v>
      </c>
      <c r="U354" s="87" t="str">
        <f t="shared" si="448"/>
        <v>NONE</v>
      </c>
      <c r="V354" s="97"/>
      <c r="W354" s="146"/>
      <c r="X354" s="89">
        <f t="shared" si="371"/>
        <v>0</v>
      </c>
      <c r="Y354" s="154"/>
      <c r="Z354" s="113">
        <f t="shared" si="462"/>
        <v>0</v>
      </c>
      <c r="AA354" s="113">
        <f t="shared" si="450"/>
        <v>130</v>
      </c>
      <c r="AB354" s="113"/>
      <c r="AC354" s="155">
        <f t="shared" si="451"/>
        <v>-130</v>
      </c>
      <c r="AD354" s="113"/>
      <c r="AE354" s="113">
        <f t="shared" si="452"/>
        <v>0</v>
      </c>
      <c r="AF354" s="113">
        <f>IF(AG354&gt;0,AG211:AG354,0)</f>
        <v>0</v>
      </c>
      <c r="AG354" s="113">
        <f t="shared" si="453"/>
        <v>-130</v>
      </c>
      <c r="AI354">
        <f t="shared" si="454"/>
        <v>0</v>
      </c>
      <c r="AJ354">
        <f t="shared" si="455"/>
        <v>0</v>
      </c>
      <c r="AK354">
        <f t="shared" si="456"/>
        <v>0</v>
      </c>
      <c r="AL354">
        <f t="shared" si="457"/>
        <v>0</v>
      </c>
      <c r="AN354">
        <f t="shared" si="458"/>
        <v>0</v>
      </c>
      <c r="AO354">
        <f t="shared" si="459"/>
        <v>0</v>
      </c>
      <c r="AP354">
        <f t="shared" si="460"/>
        <v>0</v>
      </c>
      <c r="AQ354">
        <f t="shared" si="461"/>
        <v>0</v>
      </c>
    </row>
    <row r="355" spans="1:44" x14ac:dyDescent="0.3">
      <c r="B355" s="84"/>
      <c r="C355" s="84"/>
      <c r="D355" s="84"/>
      <c r="E355" s="84">
        <f t="shared" si="370"/>
        <v>0</v>
      </c>
      <c r="F355" s="85"/>
      <c r="G355" s="85"/>
      <c r="H355" s="148"/>
      <c r="I355" s="85"/>
      <c r="J355" s="84"/>
      <c r="K355" s="84"/>
      <c r="L355" s="146"/>
      <c r="M355" s="96" t="s">
        <v>36</v>
      </c>
      <c r="N355" s="85"/>
      <c r="O355" s="107">
        <v>0</v>
      </c>
      <c r="P355" s="113">
        <f t="shared" si="372"/>
        <v>0</v>
      </c>
      <c r="Q355" s="84">
        <f t="shared" si="354"/>
        <v>0</v>
      </c>
      <c r="R355" s="57"/>
      <c r="S355" s="154"/>
      <c r="T355" s="154">
        <f t="shared" si="447"/>
        <v>0</v>
      </c>
      <c r="U355" s="87" t="str">
        <f t="shared" si="448"/>
        <v>NONE</v>
      </c>
      <c r="V355" s="97"/>
      <c r="W355" s="90"/>
      <c r="X355" s="89">
        <f t="shared" si="371"/>
        <v>0</v>
      </c>
      <c r="Y355" s="154"/>
      <c r="Z355" s="113">
        <f t="shared" si="462"/>
        <v>0</v>
      </c>
      <c r="AA355" s="113">
        <f t="shared" si="450"/>
        <v>0</v>
      </c>
      <c r="AB355" s="113"/>
      <c r="AC355" s="155">
        <f t="shared" si="451"/>
        <v>0</v>
      </c>
      <c r="AD355" s="113"/>
      <c r="AE355" s="113">
        <f t="shared" si="452"/>
        <v>0</v>
      </c>
      <c r="AF355" s="113">
        <f>IF(AG355&gt;0,AG212:AG355,0)</f>
        <v>0</v>
      </c>
      <c r="AG355" s="113">
        <f t="shared" si="453"/>
        <v>0</v>
      </c>
      <c r="AI355">
        <f t="shared" si="454"/>
        <v>0</v>
      </c>
      <c r="AJ355">
        <f t="shared" si="455"/>
        <v>0</v>
      </c>
      <c r="AK355">
        <f t="shared" si="456"/>
        <v>0</v>
      </c>
      <c r="AL355">
        <f t="shared" si="457"/>
        <v>0</v>
      </c>
      <c r="AN355">
        <f t="shared" si="458"/>
        <v>0</v>
      </c>
      <c r="AO355">
        <f t="shared" si="459"/>
        <v>0</v>
      </c>
      <c r="AP355">
        <f t="shared" si="460"/>
        <v>0</v>
      </c>
      <c r="AQ355">
        <f t="shared" si="461"/>
        <v>0</v>
      </c>
    </row>
    <row r="356" spans="1:44" x14ac:dyDescent="0.3">
      <c r="B356" s="86"/>
      <c r="C356" s="84"/>
      <c r="D356" s="85"/>
      <c r="E356" s="84">
        <f t="shared" si="370"/>
        <v>0</v>
      </c>
      <c r="F356" s="84"/>
      <c r="G356" s="148"/>
      <c r="H356" s="148"/>
      <c r="I356" s="85"/>
      <c r="J356" s="84"/>
      <c r="K356" s="84"/>
      <c r="L356" s="90"/>
      <c r="M356" s="96" t="s">
        <v>36</v>
      </c>
      <c r="N356" s="84"/>
      <c r="O356" s="107">
        <v>0</v>
      </c>
      <c r="P356" s="113">
        <f t="shared" si="372"/>
        <v>0</v>
      </c>
      <c r="Q356" s="84">
        <f t="shared" si="354"/>
        <v>0</v>
      </c>
      <c r="R356" s="57"/>
      <c r="S356" s="89"/>
      <c r="T356" s="89">
        <f t="shared" si="447"/>
        <v>0</v>
      </c>
      <c r="U356" s="87" t="str">
        <f t="shared" si="448"/>
        <v>NONE</v>
      </c>
      <c r="V356" s="97"/>
      <c r="W356" s="90"/>
      <c r="X356" s="89">
        <f t="shared" si="371"/>
        <v>0</v>
      </c>
      <c r="Y356" s="89"/>
      <c r="Z356" s="58">
        <f t="shared" si="462"/>
        <v>0</v>
      </c>
      <c r="AA356" s="58">
        <f t="shared" si="450"/>
        <v>0</v>
      </c>
      <c r="AB356" s="58"/>
      <c r="AC356" s="98">
        <f t="shared" si="451"/>
        <v>0</v>
      </c>
      <c r="AD356" s="58"/>
      <c r="AE356" s="58">
        <f t="shared" si="452"/>
        <v>0</v>
      </c>
      <c r="AF356" s="58">
        <f>IF(AG356&gt;0,AG218:AG356,0)</f>
        <v>0</v>
      </c>
      <c r="AG356" s="58">
        <f t="shared" si="453"/>
        <v>0</v>
      </c>
      <c r="AI356">
        <f t="shared" si="454"/>
        <v>0</v>
      </c>
      <c r="AJ356">
        <f t="shared" si="455"/>
        <v>0</v>
      </c>
      <c r="AK356">
        <f t="shared" si="456"/>
        <v>0</v>
      </c>
      <c r="AL356">
        <f t="shared" si="457"/>
        <v>0</v>
      </c>
      <c r="AN356">
        <f t="shared" si="458"/>
        <v>0</v>
      </c>
      <c r="AO356">
        <f t="shared" si="459"/>
        <v>0</v>
      </c>
      <c r="AP356">
        <f t="shared" si="460"/>
        <v>0</v>
      </c>
      <c r="AQ356">
        <f t="shared" si="461"/>
        <v>0</v>
      </c>
    </row>
    <row r="357" spans="1:44" x14ac:dyDescent="0.3">
      <c r="B357" s="108" t="s">
        <v>82</v>
      </c>
      <c r="C357" s="84"/>
      <c r="D357" s="84" t="s">
        <v>42</v>
      </c>
      <c r="E357" s="84">
        <f t="shared" si="370"/>
        <v>3</v>
      </c>
      <c r="F357" s="84"/>
      <c r="G357" s="85" t="s">
        <v>1011</v>
      </c>
      <c r="H357" s="148">
        <v>3</v>
      </c>
      <c r="I357" s="85"/>
      <c r="J357" s="84"/>
      <c r="K357" s="84"/>
      <c r="L357" s="90"/>
      <c r="M357" s="96" t="s">
        <v>36</v>
      </c>
      <c r="N357" s="84"/>
      <c r="O357" s="107">
        <v>0</v>
      </c>
      <c r="P357" s="113">
        <f t="shared" si="372"/>
        <v>0</v>
      </c>
      <c r="Q357" s="84">
        <f t="shared" si="354"/>
        <v>0</v>
      </c>
      <c r="R357" s="57"/>
      <c r="S357" s="89"/>
      <c r="T357" s="89">
        <f t="shared" si="447"/>
        <v>0</v>
      </c>
      <c r="U357" s="87" t="str">
        <f t="shared" si="448"/>
        <v>NONE</v>
      </c>
      <c r="V357" s="97"/>
      <c r="W357" s="90"/>
      <c r="X357" s="89">
        <f t="shared" si="371"/>
        <v>0</v>
      </c>
      <c r="Y357" s="89"/>
      <c r="Z357" s="58">
        <f t="shared" si="462"/>
        <v>0</v>
      </c>
      <c r="AA357" s="58">
        <f t="shared" si="450"/>
        <v>130</v>
      </c>
      <c r="AB357" s="58"/>
      <c r="AC357" s="98">
        <f t="shared" si="451"/>
        <v>-130</v>
      </c>
      <c r="AD357" s="58"/>
      <c r="AE357" s="58">
        <f t="shared" si="452"/>
        <v>0</v>
      </c>
      <c r="AF357" s="58">
        <f>IF(AG357&gt;0,AG219:AG357,0)</f>
        <v>0</v>
      </c>
      <c r="AG357" s="58">
        <f t="shared" si="453"/>
        <v>-130</v>
      </c>
      <c r="AI357">
        <f t="shared" si="454"/>
        <v>0</v>
      </c>
      <c r="AJ357">
        <f t="shared" si="455"/>
        <v>0</v>
      </c>
      <c r="AK357">
        <f t="shared" si="456"/>
        <v>0</v>
      </c>
      <c r="AL357">
        <f t="shared" si="457"/>
        <v>0</v>
      </c>
      <c r="AN357">
        <f t="shared" si="458"/>
        <v>0</v>
      </c>
      <c r="AO357">
        <f t="shared" si="459"/>
        <v>0</v>
      </c>
      <c r="AP357">
        <f t="shared" si="460"/>
        <v>0</v>
      </c>
      <c r="AQ357">
        <f t="shared" si="461"/>
        <v>0</v>
      </c>
    </row>
    <row r="358" spans="1:44" x14ac:dyDescent="0.3">
      <c r="B358" s="278" t="s">
        <v>1116</v>
      </c>
      <c r="C358" s="229" t="s">
        <v>1115</v>
      </c>
      <c r="D358" s="84" t="s">
        <v>370</v>
      </c>
      <c r="E358" s="84">
        <f t="shared" si="370"/>
        <v>0</v>
      </c>
      <c r="F358" s="84"/>
      <c r="G358" s="85" t="s">
        <v>1114</v>
      </c>
      <c r="H358" s="148">
        <v>10</v>
      </c>
      <c r="I358" s="85"/>
      <c r="J358" s="84" t="s">
        <v>1118</v>
      </c>
      <c r="K358" s="84"/>
      <c r="L358" s="90"/>
      <c r="M358" s="96" t="s">
        <v>36</v>
      </c>
      <c r="N358" s="84"/>
      <c r="O358" s="107">
        <f>3089.08-154</f>
        <v>2935.08</v>
      </c>
      <c r="P358" s="113">
        <f>1621.54-154</f>
        <v>1467.54</v>
      </c>
      <c r="Q358" s="84">
        <f t="shared" si="354"/>
        <v>1967.54</v>
      </c>
      <c r="R358" s="271">
        <v>43352</v>
      </c>
      <c r="S358" s="89"/>
      <c r="T358" s="89">
        <f t="shared" si="447"/>
        <v>0</v>
      </c>
      <c r="U358" s="87" t="str">
        <f t="shared" si="448"/>
        <v>NONE</v>
      </c>
      <c r="V358" s="97"/>
      <c r="W358" s="90" t="s">
        <v>56</v>
      </c>
      <c r="X358" s="203">
        <f t="shared" si="371"/>
        <v>3435.08</v>
      </c>
      <c r="Y358" s="89"/>
      <c r="Z358" s="58">
        <f t="shared" si="462"/>
        <v>1467.54</v>
      </c>
      <c r="AA358" s="58">
        <f t="shared" si="450"/>
        <v>130</v>
      </c>
      <c r="AB358" s="58"/>
      <c r="AC358" s="98">
        <f t="shared" si="451"/>
        <v>2805.08</v>
      </c>
      <c r="AD358" s="58"/>
      <c r="AE358" s="58">
        <f t="shared" si="452"/>
        <v>0</v>
      </c>
      <c r="AF358" s="58">
        <f>IF(AG358&gt;0,AG218:AG358,0)</f>
        <v>2805.08</v>
      </c>
      <c r="AG358" s="58">
        <f t="shared" si="453"/>
        <v>2805.08</v>
      </c>
      <c r="AI358">
        <f t="shared" si="454"/>
        <v>0</v>
      </c>
      <c r="AJ358">
        <f t="shared" si="455"/>
        <v>0</v>
      </c>
      <c r="AK358">
        <f t="shared" si="456"/>
        <v>0</v>
      </c>
      <c r="AL358">
        <f t="shared" si="457"/>
        <v>0</v>
      </c>
      <c r="AN358">
        <f t="shared" si="458"/>
        <v>0</v>
      </c>
      <c r="AO358">
        <f t="shared" si="459"/>
        <v>0</v>
      </c>
      <c r="AP358">
        <f t="shared" si="460"/>
        <v>0</v>
      </c>
      <c r="AQ358">
        <f t="shared" si="461"/>
        <v>0</v>
      </c>
    </row>
    <row r="359" spans="1:44" x14ac:dyDescent="0.3">
      <c r="B359" s="108" t="s">
        <v>82</v>
      </c>
      <c r="C359" s="86"/>
      <c r="D359" s="84" t="s">
        <v>42</v>
      </c>
      <c r="E359" s="84">
        <f t="shared" si="370"/>
        <v>4</v>
      </c>
      <c r="F359" s="84"/>
      <c r="G359" s="148" t="s">
        <v>1012</v>
      </c>
      <c r="H359" s="148">
        <v>4</v>
      </c>
      <c r="I359" s="85"/>
      <c r="J359" s="84"/>
      <c r="K359" s="84"/>
      <c r="L359" s="90"/>
      <c r="M359" s="96" t="s">
        <v>36</v>
      </c>
      <c r="N359" s="84"/>
      <c r="O359" s="107">
        <v>0</v>
      </c>
      <c r="P359" s="113">
        <f t="shared" si="372"/>
        <v>0</v>
      </c>
      <c r="Q359" s="84">
        <f t="shared" si="354"/>
        <v>0</v>
      </c>
      <c r="R359" s="57"/>
      <c r="S359" s="89"/>
      <c r="T359" s="89">
        <f t="shared" si="447"/>
        <v>0</v>
      </c>
      <c r="U359" s="87" t="str">
        <f t="shared" si="448"/>
        <v>NONE</v>
      </c>
      <c r="V359" s="97"/>
      <c r="W359" s="90"/>
      <c r="X359" s="89">
        <f t="shared" si="371"/>
        <v>0</v>
      </c>
      <c r="Y359" s="89"/>
      <c r="Z359" s="58">
        <f t="shared" si="462"/>
        <v>0</v>
      </c>
      <c r="AA359" s="58">
        <f t="shared" si="450"/>
        <v>130</v>
      </c>
      <c r="AB359" s="58"/>
      <c r="AC359" s="98">
        <f t="shared" si="451"/>
        <v>-130</v>
      </c>
      <c r="AD359" s="58"/>
      <c r="AE359" s="58">
        <f t="shared" si="452"/>
        <v>0</v>
      </c>
      <c r="AF359" s="58">
        <f>IF(AG359&gt;0,AG220:AG359,0)</f>
        <v>0</v>
      </c>
      <c r="AG359" s="58">
        <f t="shared" si="453"/>
        <v>-130</v>
      </c>
      <c r="AI359">
        <f t="shared" si="454"/>
        <v>0</v>
      </c>
      <c r="AJ359">
        <f t="shared" si="455"/>
        <v>0</v>
      </c>
      <c r="AK359">
        <f t="shared" si="456"/>
        <v>0</v>
      </c>
      <c r="AL359">
        <f t="shared" si="457"/>
        <v>0</v>
      </c>
      <c r="AN359">
        <f t="shared" si="458"/>
        <v>0</v>
      </c>
      <c r="AO359">
        <f t="shared" si="459"/>
        <v>0</v>
      </c>
      <c r="AP359">
        <f t="shared" si="460"/>
        <v>0</v>
      </c>
      <c r="AQ359">
        <f t="shared" si="461"/>
        <v>0</v>
      </c>
    </row>
    <row r="360" spans="1:44" x14ac:dyDescent="0.3">
      <c r="B360" s="86"/>
      <c r="C360" s="86"/>
      <c r="D360" s="85"/>
      <c r="E360" s="84">
        <f t="shared" si="370"/>
        <v>0</v>
      </c>
      <c r="F360" s="84"/>
      <c r="G360" s="85"/>
      <c r="H360" s="148"/>
      <c r="I360" s="85"/>
      <c r="J360" s="84"/>
      <c r="K360" s="84"/>
      <c r="L360" s="90"/>
      <c r="M360" s="96" t="s">
        <v>36</v>
      </c>
      <c r="N360" s="84"/>
      <c r="O360" s="107">
        <v>0</v>
      </c>
      <c r="P360" s="113">
        <f t="shared" si="372"/>
        <v>0</v>
      </c>
      <c r="Q360" s="84">
        <f t="shared" si="354"/>
        <v>0</v>
      </c>
      <c r="R360" s="57"/>
      <c r="S360" s="89"/>
      <c r="T360" s="89">
        <f t="shared" si="447"/>
        <v>0</v>
      </c>
      <c r="U360" s="87" t="str">
        <f t="shared" si="448"/>
        <v>NONE</v>
      </c>
      <c r="V360" s="97"/>
      <c r="W360" s="90"/>
      <c r="X360" s="89">
        <f t="shared" si="371"/>
        <v>0</v>
      </c>
      <c r="Y360" s="89"/>
      <c r="Z360" s="58">
        <f t="shared" si="462"/>
        <v>0</v>
      </c>
      <c r="AA360" s="58">
        <f t="shared" si="450"/>
        <v>0</v>
      </c>
      <c r="AB360" s="58"/>
      <c r="AC360" s="98">
        <f t="shared" si="451"/>
        <v>0</v>
      </c>
      <c r="AD360" s="58"/>
      <c r="AE360" s="58">
        <f t="shared" si="452"/>
        <v>0</v>
      </c>
      <c r="AF360" s="58">
        <f>IF(AG360&gt;0,AG220:AG360,0)</f>
        <v>0</v>
      </c>
      <c r="AG360" s="58">
        <f t="shared" si="453"/>
        <v>0</v>
      </c>
      <c r="AI360">
        <f t="shared" si="454"/>
        <v>0</v>
      </c>
      <c r="AJ360">
        <f t="shared" si="455"/>
        <v>0</v>
      </c>
      <c r="AK360">
        <f t="shared" si="456"/>
        <v>0</v>
      </c>
      <c r="AL360">
        <f t="shared" si="457"/>
        <v>0</v>
      </c>
      <c r="AN360">
        <f t="shared" si="458"/>
        <v>0</v>
      </c>
      <c r="AO360">
        <f t="shared" si="459"/>
        <v>0</v>
      </c>
      <c r="AP360">
        <f t="shared" si="460"/>
        <v>0</v>
      </c>
      <c r="AQ360">
        <f t="shared" si="461"/>
        <v>0</v>
      </c>
    </row>
    <row r="361" spans="1:44" x14ac:dyDescent="0.3">
      <c r="B361" s="108" t="s">
        <v>82</v>
      </c>
      <c r="C361" s="84"/>
      <c r="D361" s="84" t="s">
        <v>42</v>
      </c>
      <c r="E361" s="84">
        <f t="shared" si="370"/>
        <v>7</v>
      </c>
      <c r="F361" s="84"/>
      <c r="G361" s="84" t="s">
        <v>1013</v>
      </c>
      <c r="H361" s="148">
        <v>7</v>
      </c>
      <c r="I361" s="85"/>
      <c r="J361" s="84"/>
      <c r="K361" s="84"/>
      <c r="L361" s="90"/>
      <c r="M361" s="96"/>
      <c r="N361" s="84"/>
      <c r="O361" s="107">
        <v>0</v>
      </c>
      <c r="P361" s="113">
        <f t="shared" si="372"/>
        <v>0</v>
      </c>
      <c r="Q361" s="84">
        <f t="shared" si="354"/>
        <v>0</v>
      </c>
      <c r="R361" s="57"/>
      <c r="S361" s="89"/>
      <c r="T361" s="89">
        <f t="shared" si="447"/>
        <v>0</v>
      </c>
      <c r="U361" s="87" t="str">
        <f t="shared" si="448"/>
        <v>NONE</v>
      </c>
      <c r="V361" s="97"/>
      <c r="W361" s="90"/>
      <c r="X361" s="89">
        <f t="shared" si="371"/>
        <v>0</v>
      </c>
      <c r="Y361" s="89"/>
      <c r="Z361" s="58">
        <f t="shared" si="462"/>
        <v>0</v>
      </c>
      <c r="AA361" s="58">
        <f t="shared" si="450"/>
        <v>130</v>
      </c>
      <c r="AB361" s="58"/>
      <c r="AC361" s="98">
        <f t="shared" si="451"/>
        <v>-130</v>
      </c>
      <c r="AD361" s="58"/>
      <c r="AE361" s="58">
        <f t="shared" si="452"/>
        <v>0</v>
      </c>
      <c r="AF361" s="58">
        <f>IF(AG361&gt;0,AG219:AG361,0)</f>
        <v>0</v>
      </c>
      <c r="AG361" s="58">
        <f t="shared" si="453"/>
        <v>-130</v>
      </c>
      <c r="AI361">
        <f t="shared" si="454"/>
        <v>0</v>
      </c>
      <c r="AJ361">
        <f t="shared" si="455"/>
        <v>0</v>
      </c>
      <c r="AK361">
        <f t="shared" si="456"/>
        <v>0</v>
      </c>
      <c r="AL361">
        <f t="shared" si="457"/>
        <v>0</v>
      </c>
      <c r="AN361">
        <f t="shared" si="458"/>
        <v>0</v>
      </c>
      <c r="AO361">
        <f t="shared" si="459"/>
        <v>0</v>
      </c>
      <c r="AP361">
        <f t="shared" si="460"/>
        <v>0</v>
      </c>
      <c r="AQ361">
        <f t="shared" si="461"/>
        <v>0</v>
      </c>
    </row>
    <row r="362" spans="1:44" x14ac:dyDescent="0.3">
      <c r="A362" s="45"/>
      <c r="B362" s="192">
        <f>COUNTIFS(D$275:D361,"&lt;&gt;NA")-COUNTIFS(D$275:D361,"="&amp;D40)</f>
        <v>66</v>
      </c>
      <c r="C362" s="174" t="s">
        <v>472</v>
      </c>
      <c r="D362" s="46">
        <f>SUM(E319:E361)</f>
        <v>64</v>
      </c>
      <c r="E362" s="46"/>
      <c r="F362" s="46"/>
      <c r="G362" s="63" t="s">
        <v>215</v>
      </c>
      <c r="H362" s="62">
        <f>SUM(H319:H361)-SUM(E319:E361)</f>
        <v>126</v>
      </c>
      <c r="I362" s="62"/>
      <c r="J362" s="61">
        <f>ROUND(H362/7,0)</f>
        <v>18</v>
      </c>
      <c r="K362" s="61" t="s">
        <v>214</v>
      </c>
      <c r="L362" s="63" t="s">
        <v>216</v>
      </c>
      <c r="M362" s="151">
        <f>ROUND(AF362/J362,0)</f>
        <v>2461</v>
      </c>
      <c r="N362" s="45"/>
      <c r="O362" s="82">
        <f>SUM(O319:O361)</f>
        <v>46666.11</v>
      </c>
      <c r="P362" s="49"/>
      <c r="Q362" s="80">
        <f>Z362</f>
        <v>1467.54</v>
      </c>
      <c r="R362" s="79" t="s">
        <v>254</v>
      </c>
      <c r="S362" s="126"/>
      <c r="T362" s="73"/>
      <c r="U362" s="48"/>
      <c r="V362" s="48"/>
      <c r="W362" s="47"/>
      <c r="X362" s="49"/>
      <c r="Y362" s="49">
        <f>Z362</f>
        <v>1467.54</v>
      </c>
      <c r="Z362" s="49">
        <f>SUM(Z319:Z361)</f>
        <v>1467.54</v>
      </c>
      <c r="AA362" s="49">
        <f>SUM(AA319:AA361)</f>
        <v>3640</v>
      </c>
      <c r="AB362" s="49">
        <f>AA362</f>
        <v>3640</v>
      </c>
      <c r="AC362" s="45"/>
      <c r="AD362" s="49"/>
      <c r="AE362" s="49">
        <f>SUM(AE319:AE361)</f>
        <v>30</v>
      </c>
      <c r="AF362" s="49">
        <f>SUM(AF319:AF361)</f>
        <v>44296.11</v>
      </c>
      <c r="AG362" s="82">
        <f>SUM(AG319:AG361)</f>
        <v>42996.11</v>
      </c>
      <c r="AH362" s="45">
        <f>AG362</f>
        <v>42996.11</v>
      </c>
      <c r="AI362" s="129">
        <f>SUM(AI319:AI361)</f>
        <v>3065.08</v>
      </c>
      <c r="AJ362" s="129">
        <f>SUM(AJ319:AJ361)</f>
        <v>0</v>
      </c>
      <c r="AK362" s="129">
        <f>SUM(AK319:AK361)</f>
        <v>0</v>
      </c>
      <c r="AL362" s="129">
        <f>SUM(AL319:AL361)</f>
        <v>0</v>
      </c>
      <c r="AM362" s="131">
        <f>SUM(AI362:AL362)</f>
        <v>3065.08</v>
      </c>
      <c r="AN362" s="129">
        <f>SUM(AN319:AN361)</f>
        <v>3065.08</v>
      </c>
      <c r="AO362" s="129">
        <f>SUM(AO319:AO361)</f>
        <v>0</v>
      </c>
      <c r="AP362" s="129">
        <f>SUM(AP319:AP361)</f>
        <v>0</v>
      </c>
      <c r="AQ362" s="129">
        <f>SUM(AQ319:AQ361)</f>
        <v>0</v>
      </c>
      <c r="AR362" s="131">
        <f>SUM(AN362:AQ362)</f>
        <v>3065.08</v>
      </c>
    </row>
    <row r="363" spans="1:44" s="84" customFormat="1" ht="21" customHeight="1" x14ac:dyDescent="0.45">
      <c r="A363" s="130"/>
      <c r="B363" s="150">
        <v>2019</v>
      </c>
      <c r="C363" s="133"/>
      <c r="D363" s="132"/>
      <c r="E363" s="132"/>
      <c r="F363" s="132"/>
      <c r="G363" s="134"/>
      <c r="H363" s="135"/>
      <c r="I363" s="135"/>
      <c r="J363" s="136"/>
      <c r="K363" s="136"/>
      <c r="L363" s="134"/>
      <c r="M363" s="137"/>
      <c r="N363" s="130"/>
      <c r="O363" s="138"/>
      <c r="P363" s="139"/>
      <c r="Q363" s="140"/>
      <c r="R363" s="141"/>
      <c r="S363" s="142"/>
      <c r="T363" s="143"/>
      <c r="U363" s="144"/>
      <c r="V363" s="144"/>
      <c r="W363" s="145"/>
      <c r="X363" s="139"/>
      <c r="Y363" s="139"/>
      <c r="Z363" s="139"/>
      <c r="AA363" s="139"/>
      <c r="AB363" s="139"/>
      <c r="AC363" s="130"/>
      <c r="AD363" s="139"/>
      <c r="AE363" s="139"/>
      <c r="AF363" s="139"/>
      <c r="AG363" s="138"/>
      <c r="AH363" s="130"/>
      <c r="AI363" s="119">
        <f>ROUNDUP(AI362*0.05,0)</f>
        <v>154</v>
      </c>
      <c r="AJ363" s="119">
        <f>ROUNDUP(AJ362*0.05,0)</f>
        <v>0</v>
      </c>
      <c r="AK363" s="119">
        <f>ROUNDUP(AK362*0.05,0)</f>
        <v>0</v>
      </c>
      <c r="AL363" s="119">
        <f>ROUNDUP(AL362*0.05,0)</f>
        <v>0</v>
      </c>
      <c r="AM363" s="131">
        <f>SUM(AI363:AL363)</f>
        <v>154</v>
      </c>
      <c r="AN363" s="119">
        <f>ROUNDUP(AN362*0.06,0)</f>
        <v>184</v>
      </c>
      <c r="AO363" s="119">
        <f>ROUNDUP(AO362*0.06,0)</f>
        <v>0</v>
      </c>
      <c r="AP363" s="119">
        <f>ROUNDUP(AP362*0.06,0)</f>
        <v>0</v>
      </c>
      <c r="AQ363" s="119">
        <f>ROUNDUP(AQ362*0.06,0)</f>
        <v>0</v>
      </c>
      <c r="AR363" s="131">
        <f>SUM(AN363:AQ363)</f>
        <v>184</v>
      </c>
    </row>
    <row r="364" spans="1:44" s="84" customFormat="1" x14ac:dyDescent="0.3">
      <c r="B364" s="86"/>
      <c r="C364" s="86"/>
      <c r="E364" s="84">
        <f>IF(D364=$B$12,H364,0)</f>
        <v>0</v>
      </c>
      <c r="F364" s="84">
        <f t="shared" ref="F364" si="463">IF(E364&gt;0,0,1)</f>
        <v>1</v>
      </c>
      <c r="H364" s="148"/>
      <c r="I364" s="85"/>
      <c r="L364" s="90"/>
      <c r="M364" s="96" t="s">
        <v>36</v>
      </c>
      <c r="O364" s="107">
        <v>0</v>
      </c>
      <c r="P364" s="242">
        <f t="shared" ref="P364:P366" si="464">O364*0.5</f>
        <v>0</v>
      </c>
      <c r="Q364" s="84">
        <f t="shared" ref="Q364:Q366" si="465">IF(O364&gt;0,((O364+500)-P364)+T364,0)</f>
        <v>0</v>
      </c>
      <c r="R364" s="57"/>
      <c r="S364" s="89"/>
      <c r="T364" s="89">
        <f t="shared" ref="T364:T372" si="466">IF(U364=$AD$2,47,IF(U364=$AD$1,ROUND(((O364+500)*0.039),0),IF(U364=$AD$3,0)))</f>
        <v>0</v>
      </c>
      <c r="U364" s="87" t="str">
        <f t="shared" ref="U364:U370" si="467">IF(V364=1,$AD$2,IF(V364=2,$AD$1,IF(AND(V364&lt;&gt;1,V364&lt;&gt;20)=TRUE,$AD$3)))</f>
        <v>NONE</v>
      </c>
      <c r="V364" s="97"/>
      <c r="W364" s="90"/>
      <c r="X364" s="89">
        <f t="shared" ref="X364:X366" si="468">Q364+P364</f>
        <v>0</v>
      </c>
      <c r="Y364" s="89"/>
      <c r="Z364" s="58">
        <f t="shared" ref="Z364:Z370" si="469">IF(W364=$Z$1,Q364-500,0)</f>
        <v>0</v>
      </c>
      <c r="AA364" s="58">
        <f t="shared" ref="AA364:AA370" si="470">IF(H364&gt;0,130,0)</f>
        <v>0</v>
      </c>
      <c r="AB364" s="58"/>
      <c r="AC364" s="98">
        <f t="shared" ref="AC364:AC370" si="471">(O364+T364)-AA364</f>
        <v>0</v>
      </c>
      <c r="AD364" s="58"/>
      <c r="AE364" s="58">
        <f t="shared" ref="AE364:AE370" si="472">IF(H364&gt;0,30*F364,0)</f>
        <v>0</v>
      </c>
      <c r="AF364" s="58">
        <f>IF(AG364&gt;0,AG247:AG364,0)</f>
        <v>0</v>
      </c>
      <c r="AG364" s="58">
        <f t="shared" ref="AG364:AG369" si="473">AC364-AE364</f>
        <v>0</v>
      </c>
      <c r="AI364">
        <f t="shared" ref="AI364:AI369" si="474">IF(S364=1,O364-T364,0)</f>
        <v>0</v>
      </c>
      <c r="AJ364">
        <f t="shared" ref="AJ364:AJ369" si="475">IF(S364=2,O364-T364,0)</f>
        <v>0</v>
      </c>
      <c r="AK364">
        <f t="shared" ref="AK364:AK369" si="476">IF(S364=3,O364-T364,0)</f>
        <v>0</v>
      </c>
      <c r="AL364">
        <f t="shared" ref="AL364:AL369" si="477">IF(S364=4,O364-T364,0)</f>
        <v>0</v>
      </c>
      <c r="AM364"/>
      <c r="AN364">
        <f t="shared" ref="AN364:AN369" si="478">IF(S364=1,O364-T364,0)</f>
        <v>0</v>
      </c>
      <c r="AO364">
        <f t="shared" ref="AO364:AO369" si="479">IF(S364=2,O364-T364,0)</f>
        <v>0</v>
      </c>
      <c r="AP364">
        <f t="shared" ref="AP364:AP369" si="480">IF(S364=3,O364-T364,0)</f>
        <v>0</v>
      </c>
      <c r="AQ364">
        <f t="shared" ref="AQ364:AQ369" si="481">IF(S364=4,O364-T364,0)</f>
        <v>0</v>
      </c>
    </row>
    <row r="365" spans="1:44" ht="15.6" x14ac:dyDescent="0.3">
      <c r="B365" s="228"/>
      <c r="C365" s="84"/>
      <c r="D365" s="84"/>
      <c r="E365" s="85"/>
      <c r="F365" s="85"/>
      <c r="G365" s="84"/>
      <c r="H365" s="148"/>
      <c r="I365" s="85"/>
      <c r="J365" s="84"/>
      <c r="K365" s="84"/>
      <c r="L365" s="90"/>
      <c r="M365" s="96" t="s">
        <v>36</v>
      </c>
      <c r="N365" s="85"/>
      <c r="O365" s="107">
        <v>0</v>
      </c>
      <c r="P365" s="242">
        <f t="shared" si="464"/>
        <v>0</v>
      </c>
      <c r="Q365" s="84">
        <f t="shared" si="465"/>
        <v>0</v>
      </c>
      <c r="R365" s="57"/>
      <c r="S365" s="154"/>
      <c r="T365" s="154">
        <f t="shared" si="466"/>
        <v>0</v>
      </c>
      <c r="U365" s="87" t="str">
        <f t="shared" si="467"/>
        <v>NONE</v>
      </c>
      <c r="V365" s="97"/>
      <c r="W365" s="90"/>
      <c r="X365" s="89">
        <f t="shared" si="468"/>
        <v>0</v>
      </c>
      <c r="Y365" s="154"/>
      <c r="Z365" s="113">
        <f t="shared" si="469"/>
        <v>0</v>
      </c>
      <c r="AA365" s="113">
        <f t="shared" si="470"/>
        <v>0</v>
      </c>
      <c r="AB365" s="113"/>
      <c r="AC365" s="155">
        <f t="shared" si="471"/>
        <v>0</v>
      </c>
      <c r="AD365" s="113"/>
      <c r="AE365" s="113">
        <f t="shared" si="472"/>
        <v>0</v>
      </c>
      <c r="AF365" s="113">
        <f>IF(AG365&gt;0,AG231:AG365,0)</f>
        <v>0</v>
      </c>
      <c r="AG365" s="113">
        <f t="shared" si="473"/>
        <v>0</v>
      </c>
      <c r="AI365">
        <f t="shared" si="474"/>
        <v>0</v>
      </c>
      <c r="AJ365">
        <f t="shared" si="475"/>
        <v>0</v>
      </c>
      <c r="AK365">
        <f t="shared" si="476"/>
        <v>0</v>
      </c>
      <c r="AL365">
        <f t="shared" si="477"/>
        <v>0</v>
      </c>
      <c r="AN365">
        <f t="shared" si="478"/>
        <v>0</v>
      </c>
      <c r="AO365">
        <f t="shared" si="479"/>
        <v>0</v>
      </c>
      <c r="AP365">
        <f t="shared" si="480"/>
        <v>0</v>
      </c>
      <c r="AQ365">
        <f t="shared" si="481"/>
        <v>0</v>
      </c>
    </row>
    <row r="366" spans="1:44" x14ac:dyDescent="0.3">
      <c r="B366" s="103" t="s">
        <v>82</v>
      </c>
      <c r="C366" s="86"/>
      <c r="D366" s="84" t="s">
        <v>42</v>
      </c>
      <c r="E366" s="85"/>
      <c r="F366" s="85"/>
      <c r="G366" s="148" t="s">
        <v>1111</v>
      </c>
      <c r="H366" s="148"/>
      <c r="I366" s="85"/>
      <c r="J366" s="84"/>
      <c r="K366" s="84"/>
      <c r="L366" s="146"/>
      <c r="M366" s="96" t="s">
        <v>36</v>
      </c>
      <c r="N366" s="85"/>
      <c r="O366" s="107">
        <v>0</v>
      </c>
      <c r="P366" s="242">
        <f t="shared" si="464"/>
        <v>0</v>
      </c>
      <c r="Q366" s="84">
        <f t="shared" si="465"/>
        <v>0</v>
      </c>
      <c r="R366" s="57"/>
      <c r="S366" s="154"/>
      <c r="T366" s="154">
        <f t="shared" si="466"/>
        <v>0</v>
      </c>
      <c r="U366" s="87" t="str">
        <f t="shared" si="467"/>
        <v>NONE</v>
      </c>
      <c r="V366" s="97"/>
      <c r="W366" s="146"/>
      <c r="X366" s="89">
        <f t="shared" si="468"/>
        <v>0</v>
      </c>
      <c r="Y366" s="154"/>
      <c r="Z366" s="113">
        <f t="shared" si="469"/>
        <v>0</v>
      </c>
      <c r="AA366" s="113">
        <f t="shared" si="470"/>
        <v>0</v>
      </c>
      <c r="AB366" s="113"/>
      <c r="AC366" s="155">
        <f t="shared" si="471"/>
        <v>0</v>
      </c>
      <c r="AD366" s="113"/>
      <c r="AE366" s="113">
        <f t="shared" si="472"/>
        <v>0</v>
      </c>
      <c r="AF366" s="113">
        <f>IF(AG366&gt;0,AG232:AG377,0)</f>
        <v>0</v>
      </c>
      <c r="AG366" s="113">
        <f t="shared" si="473"/>
        <v>0</v>
      </c>
      <c r="AI366">
        <f t="shared" si="474"/>
        <v>0</v>
      </c>
      <c r="AJ366">
        <f t="shared" si="475"/>
        <v>0</v>
      </c>
      <c r="AK366">
        <f t="shared" si="476"/>
        <v>0</v>
      </c>
      <c r="AL366">
        <f t="shared" si="477"/>
        <v>0</v>
      </c>
      <c r="AN366">
        <f t="shared" si="478"/>
        <v>0</v>
      </c>
      <c r="AO366">
        <f t="shared" si="479"/>
        <v>0</v>
      </c>
      <c r="AP366">
        <f t="shared" si="480"/>
        <v>0</v>
      </c>
      <c r="AQ366">
        <f t="shared" si="481"/>
        <v>0</v>
      </c>
    </row>
    <row r="367" spans="1:44" x14ac:dyDescent="0.3">
      <c r="B367" s="148" t="s">
        <v>1093</v>
      </c>
      <c r="C367" s="84" t="s">
        <v>866</v>
      </c>
      <c r="D367" s="84" t="s">
        <v>822</v>
      </c>
      <c r="E367" s="85"/>
      <c r="F367" s="85"/>
      <c r="G367" s="85" t="s">
        <v>1112</v>
      </c>
      <c r="H367" s="148"/>
      <c r="I367" s="85"/>
      <c r="J367" s="84" t="s">
        <v>777</v>
      </c>
      <c r="K367" s="84"/>
      <c r="L367" s="146"/>
      <c r="M367" s="96" t="s">
        <v>36</v>
      </c>
      <c r="N367" s="85"/>
      <c r="O367" s="107">
        <v>5300</v>
      </c>
      <c r="P367" s="242">
        <v>500</v>
      </c>
      <c r="Q367" s="84">
        <f>IF(O367&gt;0,((O367+500)-P367)+T367,0)</f>
        <v>5300</v>
      </c>
      <c r="R367" s="57">
        <v>43430</v>
      </c>
      <c r="S367" s="154"/>
      <c r="T367" s="154">
        <f t="shared" si="466"/>
        <v>0</v>
      </c>
      <c r="U367" s="87" t="str">
        <f t="shared" si="467"/>
        <v>NONE</v>
      </c>
      <c r="V367" s="97"/>
      <c r="W367" s="90" t="s">
        <v>56</v>
      </c>
      <c r="X367" s="236">
        <f>Q367+P367</f>
        <v>5800</v>
      </c>
      <c r="Y367" s="154"/>
      <c r="Z367" s="113">
        <f t="shared" si="469"/>
        <v>4800</v>
      </c>
      <c r="AA367" s="113">
        <f t="shared" si="470"/>
        <v>0</v>
      </c>
      <c r="AB367" s="113"/>
      <c r="AC367" s="155">
        <f t="shared" si="471"/>
        <v>5300</v>
      </c>
      <c r="AD367" s="113"/>
      <c r="AE367" s="113">
        <f t="shared" si="472"/>
        <v>0</v>
      </c>
      <c r="AF367" s="113">
        <f>IF(AG367&gt;0,AG233:AG367,0)</f>
        <v>5300</v>
      </c>
      <c r="AG367" s="113">
        <f t="shared" si="473"/>
        <v>5300</v>
      </c>
      <c r="AI367">
        <f t="shared" si="474"/>
        <v>0</v>
      </c>
      <c r="AJ367">
        <f t="shared" si="475"/>
        <v>0</v>
      </c>
      <c r="AK367">
        <f t="shared" si="476"/>
        <v>0</v>
      </c>
      <c r="AL367">
        <f t="shared" si="477"/>
        <v>0</v>
      </c>
      <c r="AN367">
        <f t="shared" si="478"/>
        <v>0</v>
      </c>
      <c r="AO367">
        <f t="shared" si="479"/>
        <v>0</v>
      </c>
      <c r="AP367">
        <f t="shared" si="480"/>
        <v>0</v>
      </c>
      <c r="AQ367">
        <f t="shared" si="481"/>
        <v>0</v>
      </c>
    </row>
    <row r="368" spans="1:44" x14ac:dyDescent="0.3">
      <c r="B368" s="86"/>
      <c r="C368" s="229"/>
      <c r="D368" s="84"/>
      <c r="E368" s="84"/>
      <c r="F368" s="84"/>
      <c r="G368" s="148"/>
      <c r="H368" s="148"/>
      <c r="I368" s="85"/>
      <c r="J368" s="84"/>
      <c r="K368" s="84"/>
      <c r="L368" s="188"/>
      <c r="M368" s="96" t="s">
        <v>36</v>
      </c>
      <c r="N368" s="84"/>
      <c r="O368" s="107">
        <v>0</v>
      </c>
      <c r="P368" s="242">
        <f t="shared" ref="P368:P400" si="482">O368*0.5</f>
        <v>0</v>
      </c>
      <c r="Q368" s="84">
        <f t="shared" ref="Q368:Q400" si="483">IF(O368&gt;0,((O368+500)-P368)+T368,0)</f>
        <v>0</v>
      </c>
      <c r="R368" s="57"/>
      <c r="S368" s="89"/>
      <c r="T368" s="154">
        <f t="shared" si="466"/>
        <v>0</v>
      </c>
      <c r="U368" s="87" t="str">
        <f t="shared" si="467"/>
        <v>NONE</v>
      </c>
      <c r="V368" s="97"/>
      <c r="W368" s="90"/>
      <c r="X368" s="89">
        <f t="shared" ref="X368" si="484">Q368+P368</f>
        <v>0</v>
      </c>
      <c r="Y368" s="89"/>
      <c r="Z368" s="58">
        <f t="shared" si="469"/>
        <v>0</v>
      </c>
      <c r="AA368" s="58">
        <f t="shared" si="470"/>
        <v>0</v>
      </c>
      <c r="AB368" s="58"/>
      <c r="AC368" s="98">
        <f t="shared" si="471"/>
        <v>0</v>
      </c>
      <c r="AD368" s="58"/>
      <c r="AE368" s="58">
        <f t="shared" si="472"/>
        <v>0</v>
      </c>
      <c r="AF368" s="58">
        <f>IF(AG368&gt;0,AG235:AG368,0)</f>
        <v>0</v>
      </c>
      <c r="AG368" s="58">
        <f t="shared" si="473"/>
        <v>0</v>
      </c>
      <c r="AI368">
        <f t="shared" si="474"/>
        <v>0</v>
      </c>
      <c r="AJ368">
        <f t="shared" si="475"/>
        <v>0</v>
      </c>
      <c r="AK368">
        <f t="shared" si="476"/>
        <v>0</v>
      </c>
      <c r="AL368">
        <f t="shared" si="477"/>
        <v>0</v>
      </c>
      <c r="AN368">
        <f t="shared" si="478"/>
        <v>0</v>
      </c>
      <c r="AO368">
        <f t="shared" si="479"/>
        <v>0</v>
      </c>
      <c r="AP368">
        <f t="shared" si="480"/>
        <v>0</v>
      </c>
      <c r="AQ368">
        <f t="shared" si="481"/>
        <v>0</v>
      </c>
    </row>
    <row r="369" spans="2:43" x14ac:dyDescent="0.3">
      <c r="B369" s="249" t="s">
        <v>1029</v>
      </c>
      <c r="C369" s="229" t="s">
        <v>746</v>
      </c>
      <c r="D369" s="84"/>
      <c r="E369" s="84"/>
      <c r="F369" s="84"/>
      <c r="G369" s="148" t="s">
        <v>1028</v>
      </c>
      <c r="H369" s="148">
        <v>7</v>
      </c>
      <c r="I369" s="85"/>
      <c r="J369" s="84" t="s">
        <v>1030</v>
      </c>
      <c r="K369" s="84"/>
      <c r="L369" s="224" t="s">
        <v>1031</v>
      </c>
      <c r="M369" s="96" t="s">
        <v>36</v>
      </c>
      <c r="N369" s="84"/>
      <c r="O369" s="107">
        <v>2310</v>
      </c>
      <c r="P369" s="242">
        <f>O369*0.4</f>
        <v>924</v>
      </c>
      <c r="Q369" s="84">
        <f t="shared" si="483"/>
        <v>1886</v>
      </c>
      <c r="R369" s="57" t="s">
        <v>1032</v>
      </c>
      <c r="S369" s="89"/>
      <c r="T369" s="154">
        <f t="shared" si="466"/>
        <v>0</v>
      </c>
      <c r="U369" s="87" t="str">
        <f t="shared" si="467"/>
        <v>NONE</v>
      </c>
      <c r="V369" s="97"/>
      <c r="W369" s="90" t="s">
        <v>56</v>
      </c>
      <c r="X369" s="89">
        <f>Q369+P369</f>
        <v>2810</v>
      </c>
      <c r="Y369" s="89"/>
      <c r="Z369" s="58">
        <f t="shared" si="469"/>
        <v>1386</v>
      </c>
      <c r="AA369" s="58">
        <f t="shared" si="470"/>
        <v>130</v>
      </c>
      <c r="AB369" s="58"/>
      <c r="AC369" s="98">
        <f t="shared" si="471"/>
        <v>2180</v>
      </c>
      <c r="AD369" s="58"/>
      <c r="AE369" s="58">
        <f t="shared" si="472"/>
        <v>0</v>
      </c>
      <c r="AF369" s="58">
        <f>IF(AG369&gt;0,AG243:AG369,0)</f>
        <v>2180</v>
      </c>
      <c r="AG369" s="58">
        <f t="shared" si="473"/>
        <v>2180</v>
      </c>
      <c r="AI369">
        <f t="shared" si="474"/>
        <v>0</v>
      </c>
      <c r="AJ369">
        <f t="shared" si="475"/>
        <v>0</v>
      </c>
      <c r="AK369">
        <f t="shared" si="476"/>
        <v>0</v>
      </c>
      <c r="AL369">
        <f t="shared" si="477"/>
        <v>0</v>
      </c>
      <c r="AN369">
        <f t="shared" si="478"/>
        <v>0</v>
      </c>
      <c r="AO369">
        <f t="shared" si="479"/>
        <v>0</v>
      </c>
      <c r="AP369">
        <f t="shared" si="480"/>
        <v>0</v>
      </c>
      <c r="AQ369">
        <f t="shared" si="481"/>
        <v>0</v>
      </c>
    </row>
    <row r="370" spans="2:43" x14ac:dyDescent="0.3">
      <c r="B370" s="103" t="s">
        <v>82</v>
      </c>
      <c r="C370" s="86"/>
      <c r="D370" s="84" t="s">
        <v>42</v>
      </c>
      <c r="E370" s="84"/>
      <c r="F370" s="84"/>
      <c r="G370" s="84" t="s">
        <v>1018</v>
      </c>
      <c r="H370" s="148" t="s">
        <v>202</v>
      </c>
      <c r="I370" s="85"/>
      <c r="J370" s="84"/>
      <c r="K370" s="84"/>
      <c r="L370" s="90"/>
      <c r="M370" s="96" t="s">
        <v>36</v>
      </c>
      <c r="N370" s="84"/>
      <c r="O370" s="107">
        <v>0</v>
      </c>
      <c r="P370" s="242">
        <f t="shared" si="482"/>
        <v>0</v>
      </c>
      <c r="Q370" s="84">
        <f t="shared" si="483"/>
        <v>0</v>
      </c>
      <c r="R370" s="57"/>
      <c r="S370" s="89"/>
      <c r="T370" s="154">
        <f t="shared" si="466"/>
        <v>0</v>
      </c>
      <c r="U370" s="87" t="str">
        <f t="shared" si="467"/>
        <v>NONE</v>
      </c>
      <c r="V370" s="97"/>
      <c r="W370" s="90"/>
      <c r="X370" s="89">
        <f t="shared" ref="X370:X400" si="485">Q370+P370</f>
        <v>0</v>
      </c>
      <c r="Y370" s="89"/>
      <c r="Z370" s="58">
        <f t="shared" si="469"/>
        <v>0</v>
      </c>
      <c r="AA370" s="58">
        <f t="shared" si="470"/>
        <v>130</v>
      </c>
      <c r="AB370" s="58"/>
      <c r="AC370" s="98">
        <f t="shared" si="471"/>
        <v>-130</v>
      </c>
      <c r="AD370" s="58"/>
      <c r="AE370" s="58">
        <f t="shared" si="472"/>
        <v>0</v>
      </c>
      <c r="AF370" s="58">
        <f>IF(AG370&gt;0,AG222:AG370,0)</f>
        <v>0</v>
      </c>
      <c r="AG370" s="58">
        <f>AC370-AE370</f>
        <v>-130</v>
      </c>
      <c r="AH370" s="84"/>
      <c r="AI370" s="84">
        <f>IF(S370=1,O370-T370,0)</f>
        <v>0</v>
      </c>
      <c r="AJ370">
        <f>IF(S370=2,O370-T370,0)</f>
        <v>0</v>
      </c>
      <c r="AK370">
        <f>IF(S370=3,O370-T370,0)</f>
        <v>0</v>
      </c>
      <c r="AL370">
        <f>IF(S370=4,O370-T370,0)</f>
        <v>0</v>
      </c>
      <c r="AN370">
        <f>IF(S370=1,O370-T370,0)</f>
        <v>0</v>
      </c>
      <c r="AO370">
        <f>IF(S370=2,O370-T370,0)</f>
        <v>0</v>
      </c>
      <c r="AP370">
        <f>IF(S370=3,O370-T370,0)</f>
        <v>0</v>
      </c>
      <c r="AQ370">
        <f>IF(S370=4,O370-T370,0)</f>
        <v>0</v>
      </c>
    </row>
    <row r="371" spans="2:43" x14ac:dyDescent="0.3">
      <c r="B371" s="273" t="s">
        <v>1129</v>
      </c>
      <c r="C371" s="129" t="s">
        <v>1128</v>
      </c>
      <c r="D371" s="129" t="s">
        <v>61</v>
      </c>
      <c r="E371" s="269"/>
      <c r="F371" s="269"/>
      <c r="G371" s="274" t="s">
        <v>1126</v>
      </c>
      <c r="H371" s="270">
        <v>6</v>
      </c>
      <c r="I371" s="275"/>
      <c r="J371" s="129" t="s">
        <v>1107</v>
      </c>
      <c r="K371" s="84"/>
      <c r="L371" s="60"/>
      <c r="M371" s="96" t="s">
        <v>36</v>
      </c>
      <c r="N371" s="84"/>
      <c r="O371" s="107">
        <f>3065-500</f>
        <v>2565</v>
      </c>
      <c r="P371" s="242">
        <f>O371*1</f>
        <v>2565</v>
      </c>
      <c r="Q371" s="84">
        <f t="shared" si="483"/>
        <v>500</v>
      </c>
      <c r="R371" s="57"/>
      <c r="S371" s="154"/>
      <c r="T371" s="154">
        <f t="shared" si="466"/>
        <v>0</v>
      </c>
      <c r="U371" s="87" t="str">
        <f>IF(V371=1,$AD$2,IF(V371=2,$AD$1,IF(AND(V371&lt;&gt;1,V371&lt;&gt;20)=TRUE,$AD$3)))</f>
        <v>NONE</v>
      </c>
      <c r="V371" s="97"/>
      <c r="W371" s="146" t="s">
        <v>162</v>
      </c>
      <c r="X371" s="203">
        <f t="shared" si="485"/>
        <v>3065</v>
      </c>
      <c r="Y371" s="154"/>
      <c r="Z371" s="113">
        <f>IF(W371=$Z$1,Q371-500,0)</f>
        <v>0</v>
      </c>
      <c r="AA371" s="113">
        <f>IF(H371&gt;0,130,0)</f>
        <v>130</v>
      </c>
      <c r="AB371" s="113"/>
      <c r="AC371" s="155">
        <f>(O371+T371)-AA371</f>
        <v>2435</v>
      </c>
      <c r="AD371" s="113"/>
      <c r="AE371" s="113">
        <f>IF(H371&gt;0,30*F371,0)</f>
        <v>0</v>
      </c>
      <c r="AF371" s="113">
        <f>IF(AG371&gt;0,AG245:AG371,0)</f>
        <v>2435</v>
      </c>
      <c r="AG371" s="113">
        <f>AC371-AE371</f>
        <v>2435</v>
      </c>
      <c r="AI371">
        <f>IF(S371=1,O371-T371,0)</f>
        <v>0</v>
      </c>
      <c r="AJ371">
        <f>IF(S371=2,O371-T371,0)</f>
        <v>0</v>
      </c>
      <c r="AK371">
        <f>IF(S371=3,O371-T371,0)</f>
        <v>0</v>
      </c>
      <c r="AL371">
        <f>IF(S371=4,O371-T371,0)</f>
        <v>0</v>
      </c>
      <c r="AN371">
        <f>IF(S371=1,O371-T371,0)</f>
        <v>0</v>
      </c>
      <c r="AO371">
        <f>IF(S371=2,O371-T371,0)</f>
        <v>0</v>
      </c>
      <c r="AP371">
        <f>IF(S371=3,O371-T371,0)</f>
        <v>0</v>
      </c>
      <c r="AQ371">
        <f>IF(S371=4,O371-T371,0)</f>
        <v>0</v>
      </c>
    </row>
    <row r="372" spans="2:43" x14ac:dyDescent="0.3">
      <c r="B372" s="268" t="s">
        <v>1106</v>
      </c>
      <c r="C372" s="229" t="s">
        <v>1108</v>
      </c>
      <c r="D372" s="84" t="s">
        <v>370</v>
      </c>
      <c r="E372" s="85"/>
      <c r="F372" s="85"/>
      <c r="G372" s="272" t="s">
        <v>1127</v>
      </c>
      <c r="H372" s="148">
        <v>16</v>
      </c>
      <c r="I372" s="85"/>
      <c r="J372" s="84" t="s">
        <v>1107</v>
      </c>
      <c r="K372" s="84"/>
      <c r="L372" s="146"/>
      <c r="M372" s="96" t="s">
        <v>36</v>
      </c>
      <c r="N372" s="85"/>
      <c r="O372" s="107">
        <f>6217.23-309</f>
        <v>5908.23</v>
      </c>
      <c r="P372" s="242">
        <f>3263.12-309</f>
        <v>2954.12</v>
      </c>
      <c r="Q372" s="84">
        <f t="shared" si="483"/>
        <v>3454.1099999999997</v>
      </c>
      <c r="R372" s="57" t="s">
        <v>1109</v>
      </c>
      <c r="S372" s="154"/>
      <c r="T372" s="154">
        <f t="shared" si="466"/>
        <v>0</v>
      </c>
      <c r="U372" s="87" t="str">
        <f t="shared" ref="U372" si="486">IF(V372=1,$AD$2,IF(V372=2,$AD$1,IF(AND(V372&lt;&gt;1,V372&lt;&gt;20)=TRUE,$AD$3)))</f>
        <v>NONE</v>
      </c>
      <c r="V372" s="97"/>
      <c r="W372" s="194" t="s">
        <v>1124</v>
      </c>
      <c r="X372" s="222">
        <f t="shared" si="485"/>
        <v>6408.23</v>
      </c>
      <c r="Y372" s="154"/>
      <c r="Z372" s="113">
        <f t="shared" ref="Z372" si="487">IF(W372=$Z$1,Q372-500,0)</f>
        <v>0</v>
      </c>
      <c r="AA372" s="113">
        <f t="shared" ref="AA372" si="488">IF(H372&gt;0,130,0)</f>
        <v>130</v>
      </c>
      <c r="AB372" s="113"/>
      <c r="AC372" s="155">
        <f t="shared" ref="AC372" si="489">(O372+T372)-AA372</f>
        <v>5778.23</v>
      </c>
      <c r="AD372" s="113"/>
      <c r="AE372" s="113">
        <f t="shared" ref="AE372" si="490">IF(H372&gt;0,30*F372,0)</f>
        <v>0</v>
      </c>
      <c r="AF372" s="113">
        <f>IF(AG372&gt;0,AG239:AG391,0)</f>
        <v>5778.23</v>
      </c>
      <c r="AG372" s="113">
        <f>AC372-AE372</f>
        <v>5778.23</v>
      </c>
      <c r="AI372">
        <f>IF(S372=1,O372-T372,0)</f>
        <v>0</v>
      </c>
      <c r="AJ372">
        <f>IF(S372=2,O372-T372,0)</f>
        <v>0</v>
      </c>
      <c r="AK372">
        <f>IF(S372=3,O372-T372,0)</f>
        <v>0</v>
      </c>
      <c r="AL372">
        <f>IF(S372=4,O372-T372,0)</f>
        <v>0</v>
      </c>
      <c r="AN372">
        <f>IF(S372=1,O372-T372,0)</f>
        <v>0</v>
      </c>
      <c r="AO372">
        <f>IF(S372=2,O372-T372,0)</f>
        <v>0</v>
      </c>
      <c r="AP372">
        <f>IF(S372=3,O372-T372,0)</f>
        <v>0</v>
      </c>
      <c r="AQ372">
        <f>IF(S372=4,O372-T372,0)</f>
        <v>0</v>
      </c>
    </row>
    <row r="373" spans="2:43" x14ac:dyDescent="0.3">
      <c r="B373" s="86" t="s">
        <v>1090</v>
      </c>
      <c r="C373" s="84" t="s">
        <v>937</v>
      </c>
      <c r="D373" s="84" t="s">
        <v>822</v>
      </c>
      <c r="E373" s="85"/>
      <c r="F373" s="85"/>
      <c r="G373" s="60" t="s">
        <v>1089</v>
      </c>
      <c r="H373" s="148">
        <v>7</v>
      </c>
      <c r="I373" s="88"/>
      <c r="J373" s="84" t="s">
        <v>938</v>
      </c>
      <c r="K373" s="84"/>
      <c r="L373" s="220"/>
      <c r="M373" s="96" t="s">
        <v>36</v>
      </c>
      <c r="N373" s="84"/>
      <c r="O373" s="107">
        <v>2493</v>
      </c>
      <c r="P373" s="242">
        <f t="shared" si="482"/>
        <v>1246.5</v>
      </c>
      <c r="Q373" s="84">
        <f t="shared" si="483"/>
        <v>1746.5</v>
      </c>
      <c r="R373" s="57" t="s">
        <v>1092</v>
      </c>
      <c r="S373" s="154"/>
      <c r="T373" s="154">
        <f>IF(U373=$AD$2,47,IF(U373=$AD$1,ROUND(((O373+500)*0.039),0),IF(U373=$AD$3,0)))</f>
        <v>0</v>
      </c>
      <c r="U373" s="87" t="str">
        <f>IF(V373=1,$AD$2,IF(V373=2,$AD$1,IF(AND(V373&lt;&gt;1,V373&lt;&gt;20)=TRUE,$AD$3)))</f>
        <v>NONE</v>
      </c>
      <c r="V373" s="97"/>
      <c r="W373" s="146" t="s">
        <v>56</v>
      </c>
      <c r="X373" s="89">
        <f t="shared" si="485"/>
        <v>2993</v>
      </c>
      <c r="Y373" s="154"/>
      <c r="Z373" s="113">
        <f>IF(W373=$Z$1,Q373-500,0)</f>
        <v>1246.5</v>
      </c>
      <c r="AA373" s="113">
        <f>IF(H373&gt;0,130,0)</f>
        <v>130</v>
      </c>
      <c r="AB373" s="113"/>
      <c r="AC373" s="155">
        <f>(O373+T373)-AA373</f>
        <v>2363</v>
      </c>
      <c r="AD373" s="113"/>
      <c r="AE373" s="113">
        <f>IF(H373&gt;0,30*F373,0)</f>
        <v>0</v>
      </c>
      <c r="AF373" s="113">
        <f>IF(AG373&gt;0,AG246:AG373,0)</f>
        <v>2363</v>
      </c>
      <c r="AG373" s="113">
        <f>AC373-AE373</f>
        <v>2363</v>
      </c>
      <c r="AI373">
        <f>IF(S373=1,O373-T373,0)</f>
        <v>0</v>
      </c>
      <c r="AJ373">
        <f>IF(S373=2,O373-T373,0)</f>
        <v>0</v>
      </c>
      <c r="AK373">
        <f>IF(S373=3,O373-T373,0)</f>
        <v>0</v>
      </c>
      <c r="AL373">
        <f>IF(S373=4,O373-T373,0)</f>
        <v>0</v>
      </c>
      <c r="AN373">
        <f>IF(S373=1,O373-T373,0)</f>
        <v>0</v>
      </c>
      <c r="AO373">
        <f>IF(S373=2,O373-T373,0)</f>
        <v>0</v>
      </c>
      <c r="AP373">
        <f>IF(S373=3,O373-T373,0)</f>
        <v>0</v>
      </c>
      <c r="AQ373">
        <f>IF(S373=4,O373-T373,0)</f>
        <v>0</v>
      </c>
    </row>
    <row r="374" spans="2:43" x14ac:dyDescent="0.3">
      <c r="B374" s="103" t="s">
        <v>82</v>
      </c>
      <c r="C374" s="86"/>
      <c r="D374" s="84"/>
      <c r="E374" s="85"/>
      <c r="F374" s="85"/>
      <c r="G374" s="220" t="s">
        <v>1014</v>
      </c>
      <c r="H374" s="148"/>
      <c r="I374" s="88"/>
      <c r="J374" s="84"/>
      <c r="K374" s="84"/>
      <c r="L374" s="60"/>
      <c r="M374" s="96" t="s">
        <v>36</v>
      </c>
      <c r="N374" s="84"/>
      <c r="O374" s="107">
        <v>0</v>
      </c>
      <c r="P374" s="242">
        <f t="shared" si="482"/>
        <v>0</v>
      </c>
      <c r="Q374" s="84">
        <f t="shared" si="483"/>
        <v>0</v>
      </c>
      <c r="R374" s="57"/>
      <c r="S374" s="154"/>
      <c r="T374" s="154">
        <f t="shared" ref="T374:T375" si="491">IF(U374=$AD$2,47,IF(U374=$AD$1,ROUND(((O374+500)*0.039),0),IF(U374=$AD$3,0)))</f>
        <v>0</v>
      </c>
      <c r="U374" s="87" t="str">
        <f t="shared" ref="U374:U375" si="492">IF(V374=1,$AD$2,IF(V374=2,$AD$1,IF(AND(V374&lt;&gt;1,V374&lt;&gt;20)=TRUE,$AD$3)))</f>
        <v>NONE</v>
      </c>
      <c r="V374" s="97"/>
      <c r="W374" s="146"/>
      <c r="X374" s="89">
        <f t="shared" si="485"/>
        <v>0</v>
      </c>
      <c r="Y374" s="154"/>
      <c r="Z374" s="113">
        <f t="shared" ref="Z374:Z375" si="493">IF(W374=$Z$1,Q374-500,0)</f>
        <v>0</v>
      </c>
      <c r="AA374" s="113">
        <f t="shared" ref="AA374:AA375" si="494">IF(H374&gt;0,130,0)</f>
        <v>0</v>
      </c>
      <c r="AB374" s="113"/>
      <c r="AC374" s="155">
        <f t="shared" ref="AC374:AC375" si="495">(O374+T374)-AA374</f>
        <v>0</v>
      </c>
      <c r="AD374" s="113"/>
      <c r="AE374" s="113">
        <f t="shared" ref="AE374:AE375" si="496">IF(H374&gt;0,30*F374,0)</f>
        <v>0</v>
      </c>
      <c r="AF374" s="113">
        <f>IF(AG374&gt;0,AG247:AG374,0)</f>
        <v>0</v>
      </c>
      <c r="AG374" s="113">
        <f t="shared" ref="AG374:AG375" si="497">AC374-AE374</f>
        <v>0</v>
      </c>
      <c r="AI374">
        <f t="shared" ref="AI374:AI375" si="498">IF(S374=1,O374-T374,0)</f>
        <v>0</v>
      </c>
      <c r="AJ374">
        <f t="shared" ref="AJ374:AJ375" si="499">IF(S374=2,O374-T374,0)</f>
        <v>0</v>
      </c>
      <c r="AK374">
        <f t="shared" ref="AK374:AK375" si="500">IF(S374=3,O374-T374,0)</f>
        <v>0</v>
      </c>
      <c r="AL374">
        <f t="shared" ref="AL374:AL375" si="501">IF(S374=4,O374-T374,0)</f>
        <v>0</v>
      </c>
      <c r="AN374">
        <f t="shared" ref="AN374:AN375" si="502">IF(S374=1,O374-T374,0)</f>
        <v>0</v>
      </c>
      <c r="AO374">
        <f t="shared" ref="AO374:AO375" si="503">IF(S374=2,O374-T374,0)</f>
        <v>0</v>
      </c>
      <c r="AP374">
        <f t="shared" ref="AP374:AP375" si="504">IF(S374=3,O374-T374,0)</f>
        <v>0</v>
      </c>
      <c r="AQ374">
        <f t="shared" ref="AQ374:AQ375" si="505">IF(S374=4,O374-T374,0)</f>
        <v>0</v>
      </c>
    </row>
    <row r="375" spans="2:43" x14ac:dyDescent="0.3">
      <c r="B375" s="86"/>
      <c r="C375" s="86"/>
      <c r="D375" s="84"/>
      <c r="E375" s="85"/>
      <c r="F375" s="85"/>
      <c r="G375" s="85"/>
      <c r="H375" s="148"/>
      <c r="I375" s="85"/>
      <c r="J375" s="84"/>
      <c r="K375" s="84"/>
      <c r="L375" s="146"/>
      <c r="M375" s="96" t="s">
        <v>36</v>
      </c>
      <c r="N375" s="85"/>
      <c r="O375" s="107">
        <v>0</v>
      </c>
      <c r="P375" s="242">
        <f t="shared" si="482"/>
        <v>0</v>
      </c>
      <c r="Q375" s="84">
        <f t="shared" si="483"/>
        <v>0</v>
      </c>
      <c r="R375" s="57"/>
      <c r="S375" s="154"/>
      <c r="T375" s="154">
        <f t="shared" si="491"/>
        <v>0</v>
      </c>
      <c r="U375" s="87" t="str">
        <f t="shared" si="492"/>
        <v>NONE</v>
      </c>
      <c r="V375" s="97"/>
      <c r="W375" s="146"/>
      <c r="X375" s="89">
        <f t="shared" si="485"/>
        <v>0</v>
      </c>
      <c r="Y375" s="154"/>
      <c r="Z375" s="113">
        <f t="shared" si="493"/>
        <v>0</v>
      </c>
      <c r="AA375" s="113">
        <f t="shared" si="494"/>
        <v>0</v>
      </c>
      <c r="AB375" s="113"/>
      <c r="AC375" s="155">
        <f t="shared" si="495"/>
        <v>0</v>
      </c>
      <c r="AD375" s="113"/>
      <c r="AE375" s="113">
        <f t="shared" si="496"/>
        <v>0</v>
      </c>
      <c r="AF375" s="113">
        <f>IF(AG375&gt;0,AG242:AG375,0)</f>
        <v>0</v>
      </c>
      <c r="AG375" s="113">
        <f t="shared" si="497"/>
        <v>0</v>
      </c>
      <c r="AI375">
        <f t="shared" si="498"/>
        <v>0</v>
      </c>
      <c r="AJ375">
        <f t="shared" si="499"/>
        <v>0</v>
      </c>
      <c r="AK375">
        <f t="shared" si="500"/>
        <v>0</v>
      </c>
      <c r="AL375">
        <f t="shared" si="501"/>
        <v>0</v>
      </c>
      <c r="AN375">
        <f t="shared" si="502"/>
        <v>0</v>
      </c>
      <c r="AO375">
        <f t="shared" si="503"/>
        <v>0</v>
      </c>
      <c r="AP375">
        <f t="shared" si="504"/>
        <v>0</v>
      </c>
      <c r="AQ375">
        <f t="shared" si="505"/>
        <v>0</v>
      </c>
    </row>
    <row r="376" spans="2:43" x14ac:dyDescent="0.3">
      <c r="B376" s="86"/>
      <c r="C376" s="84"/>
      <c r="D376" s="85"/>
      <c r="E376" s="84"/>
      <c r="F376" s="84"/>
      <c r="G376" s="60"/>
      <c r="H376" s="148"/>
      <c r="I376" s="85"/>
      <c r="J376" s="84"/>
      <c r="K376" s="84"/>
      <c r="L376" s="90"/>
      <c r="M376" s="96" t="s">
        <v>36</v>
      </c>
      <c r="N376" s="84"/>
      <c r="O376" s="107">
        <v>0</v>
      </c>
      <c r="P376" s="242">
        <f t="shared" si="482"/>
        <v>0</v>
      </c>
      <c r="Q376" s="84">
        <f t="shared" si="483"/>
        <v>0</v>
      </c>
      <c r="R376" s="57"/>
      <c r="S376" s="89"/>
      <c r="T376" s="154">
        <f>IF(U376=$AD$2,47,IF(U376=$AD$1,ROUND(((O376+500)*0.039),0),IF(U376=$AD$3,0)))</f>
        <v>0</v>
      </c>
      <c r="U376" s="87" t="str">
        <f>IF(V376=1,$AD$2,IF(V376=2,$AD$1,IF(AND(V376&lt;&gt;1,V376&lt;&gt;20)=TRUE,$AD$3)))</f>
        <v>NONE</v>
      </c>
      <c r="V376" s="97"/>
      <c r="W376" s="90"/>
      <c r="X376" s="89">
        <f t="shared" si="485"/>
        <v>0</v>
      </c>
      <c r="Y376" s="89"/>
      <c r="Z376" s="58">
        <f>IF(W376=$Z$1,Q376-500,0)</f>
        <v>0</v>
      </c>
      <c r="AA376" s="58">
        <f>IF(H376&gt;0,130,0)</f>
        <v>0</v>
      </c>
      <c r="AB376" s="58"/>
      <c r="AC376" s="98">
        <f>(O376+T376)-AA376</f>
        <v>0</v>
      </c>
      <c r="AD376" s="58"/>
      <c r="AE376" s="58">
        <f>IF(H376&gt;0,30*F376,0)</f>
        <v>0</v>
      </c>
      <c r="AF376" s="58">
        <f>IF(AG376&gt;0,AG237:AG376,0)</f>
        <v>0</v>
      </c>
      <c r="AG376" s="58">
        <f>AC376-AE376</f>
        <v>0</v>
      </c>
      <c r="AI376">
        <f>IF(S376=1,O376-T376,0)</f>
        <v>0</v>
      </c>
      <c r="AJ376">
        <f>IF(S376=2,O376-T376,0)</f>
        <v>0</v>
      </c>
      <c r="AK376">
        <f>IF(S376=3,O376-T376,0)</f>
        <v>0</v>
      </c>
      <c r="AL376">
        <f>IF(S376=4,O376-T376,0)</f>
        <v>0</v>
      </c>
      <c r="AN376">
        <f>IF(S376=1,O376-T376,0)</f>
        <v>0</v>
      </c>
      <c r="AO376">
        <f>IF(S376=2,O376-T376,0)</f>
        <v>0</v>
      </c>
      <c r="AP376">
        <f>IF(S376=3,O376-T376,0)</f>
        <v>0</v>
      </c>
      <c r="AQ376">
        <f>IF(S376=4,O376-T376,0)</f>
        <v>0</v>
      </c>
    </row>
    <row r="377" spans="2:43" ht="15.6" x14ac:dyDescent="0.3">
      <c r="B377" s="177"/>
      <c r="C377" s="84"/>
      <c r="D377" s="84"/>
      <c r="E377" s="85"/>
      <c r="F377" s="85"/>
      <c r="G377" s="84"/>
      <c r="H377" s="148"/>
      <c r="I377" s="85"/>
      <c r="J377" s="84"/>
      <c r="K377" s="84"/>
      <c r="L377" s="146"/>
      <c r="M377" s="96" t="s">
        <v>36</v>
      </c>
      <c r="N377" s="85"/>
      <c r="O377" s="107">
        <v>0</v>
      </c>
      <c r="P377" s="242">
        <f t="shared" si="482"/>
        <v>0</v>
      </c>
      <c r="Q377" s="84">
        <f t="shared" si="483"/>
        <v>0</v>
      </c>
      <c r="R377" s="57"/>
      <c r="S377" s="154"/>
      <c r="T377" s="154">
        <f t="shared" ref="T377:T379" si="506">IF(U377=$AD$2,47,IF(U377=$AD$1,ROUND(((O377+500)*0.039),0),IF(U377=$AD$3,0)))</f>
        <v>0</v>
      </c>
      <c r="U377" s="87" t="str">
        <f t="shared" ref="U377:U379" si="507">IF(V377=1,$AD$2,IF(V377=2,$AD$1,IF(AND(V377&lt;&gt;1,V377&lt;&gt;20)=TRUE,$AD$3)))</f>
        <v>NONE</v>
      </c>
      <c r="V377" s="97"/>
      <c r="W377" s="146"/>
      <c r="X377" s="89">
        <f t="shared" si="485"/>
        <v>0</v>
      </c>
      <c r="Y377" s="154"/>
      <c r="Z377" s="113">
        <f t="shared" ref="Z377:Z379" si="508">IF(W377=$Z$1,Q377-500,0)</f>
        <v>0</v>
      </c>
      <c r="AA377" s="113">
        <f t="shared" ref="AA377:AA379" si="509">IF(H377&gt;0,130,0)</f>
        <v>0</v>
      </c>
      <c r="AB377" s="113"/>
      <c r="AC377" s="155">
        <f t="shared" ref="AC377:AC379" si="510">(O377+T377)-AA377</f>
        <v>0</v>
      </c>
      <c r="AD377" s="113"/>
      <c r="AE377" s="113">
        <f t="shared" ref="AE377:AE379" si="511">IF(H377&gt;0,30*F377,0)</f>
        <v>0</v>
      </c>
      <c r="AF377" s="113">
        <f>IF(AG377&gt;0,AG242:AG393,0)</f>
        <v>0</v>
      </c>
      <c r="AG377" s="113">
        <f t="shared" ref="AG377:AG379" si="512">AC377-AE377</f>
        <v>0</v>
      </c>
      <c r="AI377">
        <f t="shared" ref="AI377:AI379" si="513">IF(S377=1,O377-T377,0)</f>
        <v>0</v>
      </c>
      <c r="AJ377">
        <f t="shared" ref="AJ377:AJ379" si="514">IF(S377=2,O377-T377,0)</f>
        <v>0</v>
      </c>
      <c r="AK377">
        <f t="shared" ref="AK377:AK379" si="515">IF(S377=3,O377-T377,0)</f>
        <v>0</v>
      </c>
      <c r="AL377">
        <f t="shared" ref="AL377:AL379" si="516">IF(S377=4,O377-T377,0)</f>
        <v>0</v>
      </c>
      <c r="AN377">
        <f t="shared" ref="AN377:AN379" si="517">IF(S377=1,O377-T377,0)</f>
        <v>0</v>
      </c>
      <c r="AO377">
        <f t="shared" ref="AO377:AO379" si="518">IF(S377=2,O377-T377,0)</f>
        <v>0</v>
      </c>
      <c r="AP377">
        <f t="shared" ref="AP377:AP379" si="519">IF(S377=3,O377-T377,0)</f>
        <v>0</v>
      </c>
      <c r="AQ377">
        <f t="shared" ref="AQ377:AQ379" si="520">IF(S377=4,O377-T377,0)</f>
        <v>0</v>
      </c>
    </row>
    <row r="378" spans="2:43" x14ac:dyDescent="0.3">
      <c r="B378" s="103" t="s">
        <v>82</v>
      </c>
      <c r="C378" s="86"/>
      <c r="D378" s="84"/>
      <c r="E378" s="84"/>
      <c r="F378" s="84"/>
      <c r="G378" s="199" t="s">
        <v>1117</v>
      </c>
      <c r="H378" s="148"/>
      <c r="I378" s="85"/>
      <c r="J378" s="84"/>
      <c r="K378" s="84"/>
      <c r="L378" s="90"/>
      <c r="M378" s="96" t="s">
        <v>36</v>
      </c>
      <c r="N378" s="84"/>
      <c r="O378" s="107">
        <v>0</v>
      </c>
      <c r="P378" s="242">
        <f t="shared" si="482"/>
        <v>0</v>
      </c>
      <c r="Q378" s="84">
        <f t="shared" si="483"/>
        <v>0</v>
      </c>
      <c r="R378" s="57"/>
      <c r="S378" s="89"/>
      <c r="T378" s="154">
        <f t="shared" si="506"/>
        <v>0</v>
      </c>
      <c r="U378" s="87" t="str">
        <f t="shared" si="507"/>
        <v>NONE</v>
      </c>
      <c r="V378" s="97"/>
      <c r="W378" s="90"/>
      <c r="X378" s="89">
        <f t="shared" si="485"/>
        <v>0</v>
      </c>
      <c r="Y378" s="89"/>
      <c r="Z378" s="58">
        <f t="shared" si="508"/>
        <v>0</v>
      </c>
      <c r="AA378" s="58">
        <f t="shared" si="509"/>
        <v>0</v>
      </c>
      <c r="AB378" s="58"/>
      <c r="AC378" s="98">
        <f t="shared" si="510"/>
        <v>0</v>
      </c>
      <c r="AD378" s="58"/>
      <c r="AE378" s="58">
        <f t="shared" si="511"/>
        <v>0</v>
      </c>
      <c r="AF378" s="58">
        <f>IF(AG378&gt;0,AG239:AG378,0)</f>
        <v>0</v>
      </c>
      <c r="AG378" s="58">
        <f t="shared" si="512"/>
        <v>0</v>
      </c>
      <c r="AI378">
        <f t="shared" si="513"/>
        <v>0</v>
      </c>
      <c r="AJ378">
        <f t="shared" si="514"/>
        <v>0</v>
      </c>
      <c r="AK378">
        <f t="shared" si="515"/>
        <v>0</v>
      </c>
      <c r="AL378">
        <f t="shared" si="516"/>
        <v>0</v>
      </c>
      <c r="AN378">
        <f t="shared" si="517"/>
        <v>0</v>
      </c>
      <c r="AO378">
        <f t="shared" si="518"/>
        <v>0</v>
      </c>
      <c r="AP378">
        <f t="shared" si="519"/>
        <v>0</v>
      </c>
      <c r="AQ378">
        <f t="shared" si="520"/>
        <v>0</v>
      </c>
    </row>
    <row r="379" spans="2:43" ht="18" x14ac:dyDescent="0.35">
      <c r="B379" s="115" t="s">
        <v>1094</v>
      </c>
      <c r="C379" s="229" t="s">
        <v>1086</v>
      </c>
      <c r="D379" s="84" t="s">
        <v>370</v>
      </c>
      <c r="E379" s="85"/>
      <c r="F379" s="85"/>
      <c r="G379" s="263" t="s">
        <v>1096</v>
      </c>
      <c r="H379" s="148">
        <v>6</v>
      </c>
      <c r="I379" s="85"/>
      <c r="J379" s="84" t="s">
        <v>1087</v>
      </c>
      <c r="K379" s="84"/>
      <c r="L379" s="146"/>
      <c r="M379" s="96" t="s">
        <v>36</v>
      </c>
      <c r="N379" s="85"/>
      <c r="O379" s="107">
        <f>2668.65-500</f>
        <v>2168.65</v>
      </c>
      <c r="P379" s="242">
        <f t="shared" si="482"/>
        <v>1084.325</v>
      </c>
      <c r="Q379" s="251">
        <v>1584.32</v>
      </c>
      <c r="R379" s="57" t="s">
        <v>1088</v>
      </c>
      <c r="S379" s="154"/>
      <c r="T379" s="154">
        <f t="shared" si="506"/>
        <v>0</v>
      </c>
      <c r="U379" s="87" t="str">
        <f t="shared" si="507"/>
        <v>NONE</v>
      </c>
      <c r="V379" s="97"/>
      <c r="W379" s="90" t="s">
        <v>1095</v>
      </c>
      <c r="X379" s="89">
        <f t="shared" si="485"/>
        <v>2668.645</v>
      </c>
      <c r="Y379" s="154"/>
      <c r="Z379" s="113">
        <f t="shared" si="508"/>
        <v>0</v>
      </c>
      <c r="AA379" s="113">
        <f t="shared" si="509"/>
        <v>130</v>
      </c>
      <c r="AB379" s="113"/>
      <c r="AC379" s="155">
        <f t="shared" si="510"/>
        <v>2038.65</v>
      </c>
      <c r="AD379" s="113"/>
      <c r="AE379" s="113">
        <f t="shared" si="511"/>
        <v>0</v>
      </c>
      <c r="AF379" s="113">
        <f>IF(AG379&gt;0,AG239:AG389,0)</f>
        <v>2038.65</v>
      </c>
      <c r="AG379" s="113">
        <f t="shared" si="512"/>
        <v>2038.65</v>
      </c>
      <c r="AI379">
        <f t="shared" si="513"/>
        <v>0</v>
      </c>
      <c r="AJ379">
        <f t="shared" si="514"/>
        <v>0</v>
      </c>
      <c r="AK379">
        <f t="shared" si="515"/>
        <v>0</v>
      </c>
      <c r="AL379">
        <f t="shared" si="516"/>
        <v>0</v>
      </c>
      <c r="AN379">
        <f t="shared" si="517"/>
        <v>0</v>
      </c>
      <c r="AO379">
        <f t="shared" si="518"/>
        <v>0</v>
      </c>
      <c r="AP379">
        <f t="shared" si="519"/>
        <v>0</v>
      </c>
      <c r="AQ379">
        <f t="shared" si="520"/>
        <v>0</v>
      </c>
    </row>
    <row r="380" spans="2:43" s="84" customFormat="1" x14ac:dyDescent="0.3">
      <c r="B380" s="86"/>
      <c r="G380" s="85"/>
      <c r="H380" s="148"/>
      <c r="I380" s="85"/>
      <c r="L380" s="60"/>
      <c r="M380" s="96" t="s">
        <v>36</v>
      </c>
      <c r="O380" s="107">
        <v>0</v>
      </c>
      <c r="P380" s="242">
        <f t="shared" si="482"/>
        <v>0</v>
      </c>
      <c r="Q380" s="84">
        <f t="shared" si="483"/>
        <v>0</v>
      </c>
      <c r="R380" s="57"/>
      <c r="S380" s="89"/>
      <c r="T380" s="89">
        <f>IF(U380=$AD$2,47,IF(U380=$AD$1,ROUND(((O380+500)*0.039),0),IF(U380=$AD$3,0)))</f>
        <v>0</v>
      </c>
      <c r="U380" s="87" t="str">
        <f>IF(V380=1,$AD$2,IF(V380=2,$AD$1,IF(AND(V380&lt;&gt;1,V380&lt;&gt;20)=TRUE,$AD$3)))</f>
        <v>NONE</v>
      </c>
      <c r="V380" s="97"/>
      <c r="W380" s="90"/>
      <c r="X380" s="89">
        <f t="shared" si="485"/>
        <v>0</v>
      </c>
      <c r="Y380" s="89"/>
      <c r="Z380" s="58">
        <f>IF(W380=$Z$1,Q380-500,0)</f>
        <v>0</v>
      </c>
      <c r="AA380" s="58">
        <f>IF(H380&gt;0,130,0)</f>
        <v>0</v>
      </c>
      <c r="AB380" s="58"/>
      <c r="AC380" s="98">
        <f>(O380+T380)-AA380</f>
        <v>0</v>
      </c>
      <c r="AD380" s="58"/>
      <c r="AE380" s="58">
        <f>IF(H380&gt;0,30*F380,0)</f>
        <v>0</v>
      </c>
      <c r="AF380" s="58">
        <f>IF(AG380&gt;0,AG244:AG380,0)</f>
        <v>0</v>
      </c>
      <c r="AG380" s="58">
        <f>AC380-AE380</f>
        <v>0</v>
      </c>
      <c r="AI380" s="84">
        <f>IF(S380=1,O380-T380,0)</f>
        <v>0</v>
      </c>
      <c r="AJ380" s="84">
        <f>IF(S380=2,O380-T380,0)</f>
        <v>0</v>
      </c>
      <c r="AK380" s="84">
        <f>IF(S380=3,O380-T380,0)</f>
        <v>0</v>
      </c>
      <c r="AL380" s="84">
        <f>IF(S380=4,O380-T380,0)</f>
        <v>0</v>
      </c>
      <c r="AN380" s="84">
        <f>IF(S380=1,O380-T380,0)</f>
        <v>0</v>
      </c>
      <c r="AO380" s="84">
        <f>IF(S380=2,O380-T380,0)</f>
        <v>0</v>
      </c>
      <c r="AP380" s="84">
        <f>IF(S380=3,O380-T380,0)</f>
        <v>0</v>
      </c>
      <c r="AQ380" s="84">
        <f>IF(S380=4,O380-T380,0)</f>
        <v>0</v>
      </c>
    </row>
    <row r="381" spans="2:43" x14ac:dyDescent="0.3">
      <c r="B381" s="86"/>
      <c r="C381" s="86"/>
      <c r="D381" s="84"/>
      <c r="E381" s="85"/>
      <c r="F381" s="85"/>
      <c r="G381" s="85"/>
      <c r="H381" s="148"/>
      <c r="I381" s="85"/>
      <c r="J381" s="84"/>
      <c r="K381" s="84"/>
      <c r="L381" s="146"/>
      <c r="M381" s="96" t="s">
        <v>36</v>
      </c>
      <c r="N381" s="85"/>
      <c r="O381" s="107">
        <v>0</v>
      </c>
      <c r="P381" s="242">
        <f t="shared" si="482"/>
        <v>0</v>
      </c>
      <c r="Q381" s="84">
        <f t="shared" si="483"/>
        <v>0</v>
      </c>
      <c r="R381" s="57"/>
      <c r="S381" s="154"/>
      <c r="T381" s="154">
        <f t="shared" ref="T381:T400" si="521">IF(U381=$AD$2,47,IF(U381=$AD$1,ROUND(((O381+500)*0.039),0),IF(U381=$AD$3,0)))</f>
        <v>0</v>
      </c>
      <c r="U381" s="87" t="str">
        <f t="shared" ref="U381:U400" si="522">IF(V381=1,$AD$2,IF(V381=2,$AD$1,IF(AND(V381&lt;&gt;1,V381&lt;&gt;20)=TRUE,$AD$3)))</f>
        <v>NONE</v>
      </c>
      <c r="V381" s="97"/>
      <c r="W381" s="90"/>
      <c r="X381" s="89">
        <f t="shared" si="485"/>
        <v>0</v>
      </c>
      <c r="Y381" s="154"/>
      <c r="Z381" s="113">
        <f t="shared" ref="Z381:Z382" si="523">IF(W381=$Z$1,Q381-500,0)</f>
        <v>0</v>
      </c>
      <c r="AA381" s="113">
        <f t="shared" ref="AA381:AA400" si="524">IF(H381&gt;0,130,0)</f>
        <v>0</v>
      </c>
      <c r="AB381" s="113"/>
      <c r="AC381" s="155">
        <f t="shared" ref="AC381:AC400" si="525">(O381+T381)-AA381</f>
        <v>0</v>
      </c>
      <c r="AD381" s="113"/>
      <c r="AE381" s="113">
        <f t="shared" ref="AE381:AE400" si="526">IF(H381&gt;0,30*F381,0)</f>
        <v>0</v>
      </c>
      <c r="AF381" s="113">
        <f>IF(AG381&gt;0,AG244:AG381,0)</f>
        <v>0</v>
      </c>
      <c r="AG381" s="113">
        <f t="shared" ref="AG381:AG400" si="527">AC381-AE381</f>
        <v>0</v>
      </c>
      <c r="AI381">
        <f t="shared" ref="AI381:AI400" si="528">IF(S381=1,O381-T381,0)</f>
        <v>0</v>
      </c>
      <c r="AJ381">
        <f t="shared" ref="AJ381:AJ400" si="529">IF(S381=2,O381-T381,0)</f>
        <v>0</v>
      </c>
      <c r="AK381">
        <f t="shared" ref="AK381:AK400" si="530">IF(S381=3,O381-T381,0)</f>
        <v>0</v>
      </c>
      <c r="AL381">
        <f t="shared" ref="AL381:AL400" si="531">IF(S381=4,O381-T381,0)</f>
        <v>0</v>
      </c>
      <c r="AN381">
        <f t="shared" ref="AN381:AN400" si="532">IF(S381=1,O381-T381,0)</f>
        <v>0</v>
      </c>
      <c r="AO381">
        <f t="shared" ref="AO381:AO400" si="533">IF(S381=2,O381-T381,0)</f>
        <v>0</v>
      </c>
      <c r="AP381">
        <f t="shared" ref="AP381:AP400" si="534">IF(S381=3,O381-T381,0)</f>
        <v>0</v>
      </c>
      <c r="AQ381">
        <f t="shared" ref="AQ381:AQ400" si="535">IF(S381=4,O381-T381,0)</f>
        <v>0</v>
      </c>
    </row>
    <row r="382" spans="2:43" s="84" customFormat="1" x14ac:dyDescent="0.3">
      <c r="B382" s="103" t="s">
        <v>82</v>
      </c>
      <c r="C382" s="86"/>
      <c r="E382" s="85"/>
      <c r="F382" s="85"/>
      <c r="G382" s="148" t="s">
        <v>1015</v>
      </c>
      <c r="H382" s="148"/>
      <c r="I382" s="85"/>
      <c r="L382" s="60"/>
      <c r="M382" s="96" t="s">
        <v>36</v>
      </c>
      <c r="O382" s="107">
        <v>0</v>
      </c>
      <c r="P382" s="242">
        <f t="shared" si="482"/>
        <v>0</v>
      </c>
      <c r="Q382" s="84">
        <f t="shared" si="483"/>
        <v>0</v>
      </c>
      <c r="R382" s="57"/>
      <c r="S382" s="89"/>
      <c r="T382" s="89">
        <f t="shared" si="521"/>
        <v>0</v>
      </c>
      <c r="U382" s="87" t="str">
        <f t="shared" si="522"/>
        <v>NONE</v>
      </c>
      <c r="V382" s="97"/>
      <c r="W382" s="90"/>
      <c r="X382" s="89">
        <f t="shared" si="485"/>
        <v>0</v>
      </c>
      <c r="Y382" s="89"/>
      <c r="Z382" s="58">
        <f t="shared" si="523"/>
        <v>0</v>
      </c>
      <c r="AA382" s="58">
        <f t="shared" si="524"/>
        <v>0</v>
      </c>
      <c r="AB382" s="58"/>
      <c r="AC382" s="98">
        <f t="shared" si="525"/>
        <v>0</v>
      </c>
      <c r="AD382" s="58"/>
      <c r="AE382" s="58">
        <f t="shared" si="526"/>
        <v>0</v>
      </c>
      <c r="AF382" s="58">
        <f>IF(AG382&gt;0,AG246:AG382,0)</f>
        <v>0</v>
      </c>
      <c r="AG382" s="58">
        <f t="shared" si="527"/>
        <v>0</v>
      </c>
      <c r="AI382" s="84">
        <f t="shared" si="528"/>
        <v>0</v>
      </c>
      <c r="AJ382" s="84">
        <f t="shared" si="529"/>
        <v>0</v>
      </c>
      <c r="AK382" s="84">
        <f t="shared" si="530"/>
        <v>0</v>
      </c>
      <c r="AL382" s="84">
        <f t="shared" si="531"/>
        <v>0</v>
      </c>
      <c r="AN382" s="84">
        <f t="shared" si="532"/>
        <v>0</v>
      </c>
      <c r="AO382" s="84">
        <f t="shared" si="533"/>
        <v>0</v>
      </c>
      <c r="AP382" s="84">
        <f t="shared" si="534"/>
        <v>0</v>
      </c>
      <c r="AQ382" s="84">
        <f t="shared" si="535"/>
        <v>0</v>
      </c>
    </row>
    <row r="383" spans="2:43" ht="15.75" customHeight="1" x14ac:dyDescent="0.3">
      <c r="B383" s="86"/>
      <c r="C383" s="86"/>
      <c r="D383" s="84"/>
      <c r="E383" s="85"/>
      <c r="F383" s="85"/>
      <c r="G383" s="85"/>
      <c r="H383" s="148"/>
      <c r="I383" s="85"/>
      <c r="J383" s="84"/>
      <c r="K383" s="84"/>
      <c r="L383" s="146"/>
      <c r="M383" s="96" t="s">
        <v>36</v>
      </c>
      <c r="N383" s="85"/>
      <c r="O383" s="107">
        <v>0</v>
      </c>
      <c r="P383" s="242">
        <f t="shared" si="482"/>
        <v>0</v>
      </c>
      <c r="Q383" s="84">
        <f t="shared" si="483"/>
        <v>0</v>
      </c>
      <c r="R383" s="57"/>
      <c r="S383" s="154"/>
      <c r="T383" s="154">
        <f t="shared" si="521"/>
        <v>0</v>
      </c>
      <c r="U383" s="87" t="str">
        <f t="shared" si="522"/>
        <v>NONE</v>
      </c>
      <c r="V383" s="97"/>
      <c r="W383" s="146"/>
      <c r="X383" s="89">
        <f t="shared" si="485"/>
        <v>0</v>
      </c>
      <c r="Y383" s="154"/>
      <c r="Z383" s="113">
        <f>IF(W383=$Z$1,Q383-500,0)</f>
        <v>0</v>
      </c>
      <c r="AA383" s="113">
        <f t="shared" si="524"/>
        <v>0</v>
      </c>
      <c r="AB383" s="113"/>
      <c r="AC383" s="155">
        <f t="shared" si="525"/>
        <v>0</v>
      </c>
      <c r="AD383" s="113"/>
      <c r="AE383" s="113">
        <f t="shared" si="526"/>
        <v>0</v>
      </c>
      <c r="AF383" s="113">
        <f>IF(AG383&gt;0,AG242:AG383,0)</f>
        <v>0</v>
      </c>
      <c r="AG383" s="113">
        <f t="shared" si="527"/>
        <v>0</v>
      </c>
      <c r="AI383">
        <f t="shared" si="528"/>
        <v>0</v>
      </c>
      <c r="AJ383">
        <f t="shared" si="529"/>
        <v>0</v>
      </c>
      <c r="AK383">
        <f t="shared" si="530"/>
        <v>0</v>
      </c>
      <c r="AL383">
        <f t="shared" si="531"/>
        <v>0</v>
      </c>
      <c r="AN383">
        <f t="shared" si="532"/>
        <v>0</v>
      </c>
      <c r="AO383">
        <f t="shared" si="533"/>
        <v>0</v>
      </c>
      <c r="AP383">
        <f t="shared" si="534"/>
        <v>0</v>
      </c>
      <c r="AQ383">
        <f t="shared" si="535"/>
        <v>0</v>
      </c>
    </row>
    <row r="384" spans="2:43" x14ac:dyDescent="0.3">
      <c r="B384" s="218"/>
      <c r="C384" s="84"/>
      <c r="D384" s="84"/>
      <c r="E384" s="85"/>
      <c r="F384" s="85"/>
      <c r="G384" s="85"/>
      <c r="H384" s="148"/>
      <c r="I384" s="85"/>
      <c r="J384" s="84"/>
      <c r="K384" s="84"/>
      <c r="L384" s="146"/>
      <c r="M384" s="96" t="s">
        <v>36</v>
      </c>
      <c r="N384" s="85"/>
      <c r="O384" s="107">
        <v>0</v>
      </c>
      <c r="P384" s="242">
        <f t="shared" si="482"/>
        <v>0</v>
      </c>
      <c r="Q384" s="84">
        <f t="shared" si="483"/>
        <v>0</v>
      </c>
      <c r="R384" s="57"/>
      <c r="S384" s="154"/>
      <c r="T384" s="154">
        <f t="shared" si="521"/>
        <v>0</v>
      </c>
      <c r="U384" s="87" t="str">
        <f t="shared" si="522"/>
        <v>NONE</v>
      </c>
      <c r="V384" s="97"/>
      <c r="W384" s="146"/>
      <c r="X384" s="89">
        <f t="shared" si="485"/>
        <v>0</v>
      </c>
      <c r="Y384" s="154"/>
      <c r="Z384" s="113">
        <f t="shared" ref="Z384:Z400" si="536">IF(W384=$Z$1,Q384-500,0)</f>
        <v>0</v>
      </c>
      <c r="AA384" s="113">
        <f t="shared" si="524"/>
        <v>0</v>
      </c>
      <c r="AB384" s="113"/>
      <c r="AC384" s="155">
        <f t="shared" si="525"/>
        <v>0</v>
      </c>
      <c r="AD384" s="113"/>
      <c r="AE384" s="113">
        <f t="shared" si="526"/>
        <v>0</v>
      </c>
      <c r="AF384" s="113">
        <f>IF(AG384&gt;0,AG244:AG384,0)</f>
        <v>0</v>
      </c>
      <c r="AG384" s="113">
        <f t="shared" si="527"/>
        <v>0</v>
      </c>
      <c r="AI384">
        <f t="shared" si="528"/>
        <v>0</v>
      </c>
      <c r="AJ384">
        <f t="shared" si="529"/>
        <v>0</v>
      </c>
      <c r="AK384">
        <f t="shared" si="530"/>
        <v>0</v>
      </c>
      <c r="AL384">
        <f t="shared" si="531"/>
        <v>0</v>
      </c>
      <c r="AN384">
        <f t="shared" si="532"/>
        <v>0</v>
      </c>
      <c r="AO384">
        <f t="shared" si="533"/>
        <v>0</v>
      </c>
      <c r="AP384">
        <f t="shared" si="534"/>
        <v>0</v>
      </c>
      <c r="AQ384">
        <f t="shared" si="535"/>
        <v>0</v>
      </c>
    </row>
    <row r="385" spans="2:43" x14ac:dyDescent="0.3">
      <c r="B385" s="147"/>
      <c r="C385" s="84"/>
      <c r="D385" s="84"/>
      <c r="E385" s="85"/>
      <c r="F385" s="85"/>
      <c r="G385" s="148"/>
      <c r="H385" s="148"/>
      <c r="I385" s="85"/>
      <c r="J385" s="84"/>
      <c r="K385" s="84"/>
      <c r="L385" s="146"/>
      <c r="M385" s="96" t="s">
        <v>36</v>
      </c>
      <c r="N385" s="85"/>
      <c r="O385" s="107">
        <v>0</v>
      </c>
      <c r="P385" s="242">
        <f t="shared" si="482"/>
        <v>0</v>
      </c>
      <c r="Q385" s="84">
        <f t="shared" si="483"/>
        <v>0</v>
      </c>
      <c r="R385" s="57"/>
      <c r="S385" s="154"/>
      <c r="T385" s="154">
        <f t="shared" si="521"/>
        <v>0</v>
      </c>
      <c r="U385" s="87" t="str">
        <f t="shared" si="522"/>
        <v>NONE</v>
      </c>
      <c r="V385" s="97"/>
      <c r="W385" s="109"/>
      <c r="X385" s="89">
        <f t="shared" si="485"/>
        <v>0</v>
      </c>
      <c r="Y385" s="154"/>
      <c r="Z385" s="113">
        <f t="shared" si="536"/>
        <v>0</v>
      </c>
      <c r="AA385" s="113">
        <f t="shared" si="524"/>
        <v>0</v>
      </c>
      <c r="AB385" s="113"/>
      <c r="AC385" s="155">
        <f t="shared" si="525"/>
        <v>0</v>
      </c>
      <c r="AD385" s="113"/>
      <c r="AE385" s="113">
        <f t="shared" si="526"/>
        <v>0</v>
      </c>
      <c r="AF385" s="113">
        <f>IF(AG385&gt;0,AG244:AG394,0)</f>
        <v>0</v>
      </c>
      <c r="AG385" s="113">
        <f t="shared" si="527"/>
        <v>0</v>
      </c>
      <c r="AI385">
        <f t="shared" si="528"/>
        <v>0</v>
      </c>
      <c r="AJ385">
        <f t="shared" si="529"/>
        <v>0</v>
      </c>
      <c r="AK385">
        <f t="shared" si="530"/>
        <v>0</v>
      </c>
      <c r="AL385">
        <f t="shared" si="531"/>
        <v>0</v>
      </c>
      <c r="AN385">
        <f t="shared" si="532"/>
        <v>0</v>
      </c>
      <c r="AO385">
        <f t="shared" si="533"/>
        <v>0</v>
      </c>
      <c r="AP385">
        <f t="shared" si="534"/>
        <v>0</v>
      </c>
      <c r="AQ385">
        <f t="shared" si="535"/>
        <v>0</v>
      </c>
    </row>
    <row r="386" spans="2:43" ht="13.2" customHeight="1" x14ac:dyDescent="0.3">
      <c r="B386" s="103" t="s">
        <v>82</v>
      </c>
      <c r="C386" s="86"/>
      <c r="D386" s="84"/>
      <c r="E386" s="85"/>
      <c r="F386" s="85"/>
      <c r="G386" s="148" t="s">
        <v>1016</v>
      </c>
      <c r="H386" s="148"/>
      <c r="I386" s="85"/>
      <c r="J386" s="84"/>
      <c r="K386" s="84"/>
      <c r="L386" s="146"/>
      <c r="M386" s="96" t="s">
        <v>36</v>
      </c>
      <c r="N386" s="85"/>
      <c r="O386" s="107">
        <v>0</v>
      </c>
      <c r="P386" s="242">
        <f t="shared" si="482"/>
        <v>0</v>
      </c>
      <c r="Q386" s="84">
        <f t="shared" si="483"/>
        <v>0</v>
      </c>
      <c r="R386" s="57"/>
      <c r="S386" s="154"/>
      <c r="T386" s="154">
        <f t="shared" si="521"/>
        <v>0</v>
      </c>
      <c r="U386" s="87" t="str">
        <f t="shared" si="522"/>
        <v>NONE</v>
      </c>
      <c r="V386" s="97"/>
      <c r="W386" s="146"/>
      <c r="X386" s="89">
        <f t="shared" si="485"/>
        <v>0</v>
      </c>
      <c r="Y386" s="154"/>
      <c r="Z386" s="113">
        <f t="shared" si="536"/>
        <v>0</v>
      </c>
      <c r="AA386" s="113">
        <f t="shared" si="524"/>
        <v>0</v>
      </c>
      <c r="AB386" s="113"/>
      <c r="AC386" s="155">
        <f t="shared" si="525"/>
        <v>0</v>
      </c>
      <c r="AD386" s="113"/>
      <c r="AE386" s="113">
        <f t="shared" si="526"/>
        <v>0</v>
      </c>
      <c r="AF386" s="113">
        <f>IF(AG386&gt;0,AG247:AG386,0)</f>
        <v>0</v>
      </c>
      <c r="AG386" s="113">
        <f t="shared" si="527"/>
        <v>0</v>
      </c>
      <c r="AI386">
        <f t="shared" si="528"/>
        <v>0</v>
      </c>
      <c r="AJ386">
        <f t="shared" si="529"/>
        <v>0</v>
      </c>
      <c r="AK386">
        <f t="shared" si="530"/>
        <v>0</v>
      </c>
      <c r="AL386">
        <f t="shared" si="531"/>
        <v>0</v>
      </c>
      <c r="AN386">
        <f t="shared" si="532"/>
        <v>0</v>
      </c>
      <c r="AO386">
        <f t="shared" si="533"/>
        <v>0</v>
      </c>
      <c r="AP386">
        <f t="shared" si="534"/>
        <v>0</v>
      </c>
      <c r="AQ386">
        <f t="shared" si="535"/>
        <v>0</v>
      </c>
    </row>
    <row r="387" spans="2:43" s="84" customFormat="1" x14ac:dyDescent="0.3">
      <c r="B387" s="86"/>
      <c r="H387" s="148"/>
      <c r="I387" s="85"/>
      <c r="L387" s="109"/>
      <c r="M387" s="96" t="s">
        <v>36</v>
      </c>
      <c r="O387" s="107">
        <v>0</v>
      </c>
      <c r="P387" s="242">
        <f t="shared" si="482"/>
        <v>0</v>
      </c>
      <c r="Q387" s="84">
        <f t="shared" si="483"/>
        <v>0</v>
      </c>
      <c r="R387" s="57"/>
      <c r="S387" s="89"/>
      <c r="T387" s="89">
        <f t="shared" si="521"/>
        <v>0</v>
      </c>
      <c r="U387" s="87" t="str">
        <f t="shared" si="522"/>
        <v>NONE</v>
      </c>
      <c r="V387" s="97"/>
      <c r="W387" s="90"/>
      <c r="X387" s="89">
        <f t="shared" si="485"/>
        <v>0</v>
      </c>
      <c r="Y387" s="89"/>
      <c r="Z387" s="58">
        <f t="shared" si="536"/>
        <v>0</v>
      </c>
      <c r="AA387" s="58">
        <f t="shared" si="524"/>
        <v>0</v>
      </c>
      <c r="AB387" s="58"/>
      <c r="AC387" s="98">
        <f t="shared" si="525"/>
        <v>0</v>
      </c>
      <c r="AD387" s="58"/>
      <c r="AE387" s="58">
        <f t="shared" si="526"/>
        <v>0</v>
      </c>
      <c r="AF387" s="58">
        <f>IF(AG387&gt;0,AG247:AG387,0)</f>
        <v>0</v>
      </c>
      <c r="AG387" s="58">
        <f t="shared" si="527"/>
        <v>0</v>
      </c>
      <c r="AI387" s="84">
        <f t="shared" si="528"/>
        <v>0</v>
      </c>
      <c r="AJ387" s="84">
        <f t="shared" si="529"/>
        <v>0</v>
      </c>
      <c r="AK387" s="84">
        <f t="shared" si="530"/>
        <v>0</v>
      </c>
      <c r="AL387" s="84">
        <f t="shared" si="531"/>
        <v>0</v>
      </c>
      <c r="AN387" s="84">
        <f t="shared" si="532"/>
        <v>0</v>
      </c>
      <c r="AO387" s="84">
        <f t="shared" si="533"/>
        <v>0</v>
      </c>
      <c r="AP387" s="84">
        <f t="shared" si="534"/>
        <v>0</v>
      </c>
      <c r="AQ387" s="84">
        <f t="shared" si="535"/>
        <v>0</v>
      </c>
    </row>
    <row r="388" spans="2:43" x14ac:dyDescent="0.3">
      <c r="B388" s="86"/>
      <c r="C388" s="86"/>
      <c r="D388" s="84"/>
      <c r="E388" s="85"/>
      <c r="F388" s="85"/>
      <c r="G388" s="84"/>
      <c r="H388" s="148"/>
      <c r="I388" s="85"/>
      <c r="J388" s="84"/>
      <c r="K388" s="84"/>
      <c r="L388" s="146"/>
      <c r="M388" s="96" t="s">
        <v>36</v>
      </c>
      <c r="N388" s="85"/>
      <c r="O388" s="107">
        <v>0</v>
      </c>
      <c r="P388" s="242">
        <f t="shared" si="482"/>
        <v>0</v>
      </c>
      <c r="Q388" s="84">
        <f t="shared" si="483"/>
        <v>0</v>
      </c>
      <c r="R388" s="57"/>
      <c r="S388" s="154"/>
      <c r="T388" s="154">
        <f t="shared" si="521"/>
        <v>0</v>
      </c>
      <c r="U388" s="87" t="str">
        <f t="shared" si="522"/>
        <v>NONE</v>
      </c>
      <c r="V388" s="97"/>
      <c r="W388" s="146"/>
      <c r="X388" s="89">
        <f t="shared" si="485"/>
        <v>0</v>
      </c>
      <c r="Y388" s="154"/>
      <c r="Z388" s="113">
        <f t="shared" si="536"/>
        <v>0</v>
      </c>
      <c r="AA388" s="113">
        <f t="shared" si="524"/>
        <v>0</v>
      </c>
      <c r="AB388" s="113"/>
      <c r="AC388" s="155">
        <f t="shared" si="525"/>
        <v>0</v>
      </c>
      <c r="AD388" s="113"/>
      <c r="AE388" s="113">
        <f t="shared" si="526"/>
        <v>0</v>
      </c>
      <c r="AF388" s="113">
        <f>IF(AG388&gt;0,AG248:AG388,0)</f>
        <v>0</v>
      </c>
      <c r="AG388" s="113">
        <f t="shared" si="527"/>
        <v>0</v>
      </c>
      <c r="AI388">
        <f t="shared" si="528"/>
        <v>0</v>
      </c>
      <c r="AJ388">
        <f t="shared" si="529"/>
        <v>0</v>
      </c>
      <c r="AK388">
        <f t="shared" si="530"/>
        <v>0</v>
      </c>
      <c r="AL388">
        <f t="shared" si="531"/>
        <v>0</v>
      </c>
      <c r="AN388">
        <f t="shared" si="532"/>
        <v>0</v>
      </c>
      <c r="AO388">
        <f t="shared" si="533"/>
        <v>0</v>
      </c>
      <c r="AP388">
        <f t="shared" si="534"/>
        <v>0</v>
      </c>
      <c r="AQ388">
        <f t="shared" si="535"/>
        <v>0</v>
      </c>
    </row>
    <row r="389" spans="2:43" x14ac:dyDescent="0.3">
      <c r="B389" s="86"/>
      <c r="C389" s="84"/>
      <c r="D389" s="84"/>
      <c r="E389" s="85"/>
      <c r="F389" s="85"/>
      <c r="G389" s="84"/>
      <c r="H389" s="148"/>
      <c r="I389" s="85"/>
      <c r="J389" s="84"/>
      <c r="K389" s="84"/>
      <c r="L389" s="146"/>
      <c r="M389" s="96" t="s">
        <v>36</v>
      </c>
      <c r="N389" s="85"/>
      <c r="O389" s="107">
        <v>0</v>
      </c>
      <c r="P389" s="242">
        <f t="shared" si="482"/>
        <v>0</v>
      </c>
      <c r="Q389" s="84">
        <f t="shared" si="483"/>
        <v>0</v>
      </c>
      <c r="R389" s="57"/>
      <c r="S389" s="154"/>
      <c r="T389" s="154">
        <f t="shared" si="521"/>
        <v>0</v>
      </c>
      <c r="U389" s="87" t="str">
        <f t="shared" si="522"/>
        <v>NONE</v>
      </c>
      <c r="V389" s="97"/>
      <c r="W389" s="90"/>
      <c r="X389" s="89">
        <f t="shared" si="485"/>
        <v>0</v>
      </c>
      <c r="Y389" s="154"/>
      <c r="Z389" s="113">
        <f t="shared" si="536"/>
        <v>0</v>
      </c>
      <c r="AA389" s="113">
        <f t="shared" si="524"/>
        <v>0</v>
      </c>
      <c r="AB389" s="113"/>
      <c r="AC389" s="155">
        <f t="shared" si="525"/>
        <v>0</v>
      </c>
      <c r="AD389" s="113"/>
      <c r="AE389" s="113">
        <f t="shared" si="526"/>
        <v>0</v>
      </c>
      <c r="AF389" s="113">
        <f>IF(AG389&gt;0,AG247:AG394,0)</f>
        <v>0</v>
      </c>
      <c r="AG389" s="113">
        <f t="shared" si="527"/>
        <v>0</v>
      </c>
      <c r="AI389">
        <f t="shared" si="528"/>
        <v>0</v>
      </c>
      <c r="AJ389">
        <f t="shared" si="529"/>
        <v>0</v>
      </c>
      <c r="AK389">
        <f t="shared" si="530"/>
        <v>0</v>
      </c>
      <c r="AL389">
        <f t="shared" si="531"/>
        <v>0</v>
      </c>
      <c r="AN389">
        <f t="shared" si="532"/>
        <v>0</v>
      </c>
      <c r="AO389">
        <f t="shared" si="533"/>
        <v>0</v>
      </c>
      <c r="AP389">
        <f t="shared" si="534"/>
        <v>0</v>
      </c>
      <c r="AQ389">
        <f t="shared" si="535"/>
        <v>0</v>
      </c>
    </row>
    <row r="390" spans="2:43" x14ac:dyDescent="0.3">
      <c r="B390" s="103" t="s">
        <v>82</v>
      </c>
      <c r="C390" s="86"/>
      <c r="D390" s="84"/>
      <c r="E390" s="85"/>
      <c r="F390" s="85"/>
      <c r="G390" s="148" t="s">
        <v>1017</v>
      </c>
      <c r="H390" s="148"/>
      <c r="I390" s="85"/>
      <c r="J390" s="84"/>
      <c r="K390" s="84"/>
      <c r="L390" s="146"/>
      <c r="M390" s="96" t="s">
        <v>36</v>
      </c>
      <c r="N390" s="85"/>
      <c r="O390" s="107">
        <v>0</v>
      </c>
      <c r="P390" s="242">
        <f t="shared" si="482"/>
        <v>0</v>
      </c>
      <c r="Q390" s="84">
        <f t="shared" si="483"/>
        <v>0</v>
      </c>
      <c r="R390" s="57"/>
      <c r="S390" s="154"/>
      <c r="T390" s="154">
        <f t="shared" si="521"/>
        <v>0</v>
      </c>
      <c r="U390" s="87" t="str">
        <f t="shared" si="522"/>
        <v>NONE</v>
      </c>
      <c r="V390" s="97"/>
      <c r="W390" s="90"/>
      <c r="X390" s="89">
        <f t="shared" si="485"/>
        <v>0</v>
      </c>
      <c r="Y390" s="154"/>
      <c r="Z390" s="113">
        <f t="shared" si="536"/>
        <v>0</v>
      </c>
      <c r="AA390" s="113">
        <f t="shared" si="524"/>
        <v>0</v>
      </c>
      <c r="AB390" s="113"/>
      <c r="AC390" s="155">
        <f t="shared" si="525"/>
        <v>0</v>
      </c>
      <c r="AD390" s="113"/>
      <c r="AE390" s="113">
        <f t="shared" si="526"/>
        <v>0</v>
      </c>
      <c r="AF390" s="113">
        <f>IF(AG390&gt;0,AG249:AG390,0)</f>
        <v>0</v>
      </c>
      <c r="AG390" s="113">
        <f t="shared" si="527"/>
        <v>0</v>
      </c>
      <c r="AI390">
        <f t="shared" si="528"/>
        <v>0</v>
      </c>
      <c r="AJ390">
        <f t="shared" si="529"/>
        <v>0</v>
      </c>
      <c r="AK390">
        <f t="shared" si="530"/>
        <v>0</v>
      </c>
      <c r="AL390">
        <f t="shared" si="531"/>
        <v>0</v>
      </c>
      <c r="AN390">
        <f t="shared" si="532"/>
        <v>0</v>
      </c>
      <c r="AO390">
        <f t="shared" si="533"/>
        <v>0</v>
      </c>
      <c r="AP390">
        <f t="shared" si="534"/>
        <v>0</v>
      </c>
      <c r="AQ390">
        <f t="shared" si="535"/>
        <v>0</v>
      </c>
    </row>
    <row r="391" spans="2:43" x14ac:dyDescent="0.3">
      <c r="B391" s="111"/>
      <c r="C391" s="84"/>
      <c r="D391" s="84"/>
      <c r="E391" s="85"/>
      <c r="F391" s="85"/>
      <c r="G391" s="148"/>
      <c r="H391" s="148"/>
      <c r="I391" s="85"/>
      <c r="J391" s="84"/>
      <c r="K391" s="84"/>
      <c r="L391" s="146"/>
      <c r="M391" s="96" t="s">
        <v>36</v>
      </c>
      <c r="N391" s="85"/>
      <c r="O391" s="107">
        <v>0</v>
      </c>
      <c r="P391" s="242">
        <f t="shared" si="482"/>
        <v>0</v>
      </c>
      <c r="Q391" s="84">
        <f t="shared" si="483"/>
        <v>0</v>
      </c>
      <c r="R391" s="57"/>
      <c r="S391" s="154"/>
      <c r="T391" s="154">
        <f t="shared" si="521"/>
        <v>0</v>
      </c>
      <c r="U391" s="87" t="str">
        <f t="shared" si="522"/>
        <v>NONE</v>
      </c>
      <c r="V391" s="97"/>
      <c r="W391" s="224"/>
      <c r="X391" s="89">
        <f t="shared" si="485"/>
        <v>0</v>
      </c>
      <c r="Y391" s="154"/>
      <c r="Z391" s="113">
        <f t="shared" si="536"/>
        <v>0</v>
      </c>
      <c r="AA391" s="113">
        <f t="shared" si="524"/>
        <v>0</v>
      </c>
      <c r="AB391" s="113"/>
      <c r="AC391" s="155">
        <f t="shared" si="525"/>
        <v>0</v>
      </c>
      <c r="AD391" s="113"/>
      <c r="AE391" s="113">
        <f t="shared" si="526"/>
        <v>0</v>
      </c>
      <c r="AF391" s="113">
        <f>IF(AG391&gt;0,AG247:AG391,0)</f>
        <v>0</v>
      </c>
      <c r="AG391" s="113">
        <f t="shared" si="527"/>
        <v>0</v>
      </c>
      <c r="AI391">
        <f t="shared" si="528"/>
        <v>0</v>
      </c>
      <c r="AJ391">
        <f t="shared" si="529"/>
        <v>0</v>
      </c>
      <c r="AK391">
        <f t="shared" si="530"/>
        <v>0</v>
      </c>
      <c r="AL391">
        <f t="shared" si="531"/>
        <v>0</v>
      </c>
      <c r="AN391">
        <f t="shared" si="532"/>
        <v>0</v>
      </c>
      <c r="AO391">
        <f t="shared" si="533"/>
        <v>0</v>
      </c>
      <c r="AP391">
        <f t="shared" si="534"/>
        <v>0</v>
      </c>
      <c r="AQ391">
        <f t="shared" si="535"/>
        <v>0</v>
      </c>
    </row>
    <row r="392" spans="2:43" x14ac:dyDescent="0.3">
      <c r="B392" s="86"/>
      <c r="C392" s="84"/>
      <c r="D392" s="84"/>
      <c r="E392" s="85"/>
      <c r="F392" s="85"/>
      <c r="G392" s="148"/>
      <c r="H392" s="148"/>
      <c r="I392" s="85"/>
      <c r="J392" s="84"/>
      <c r="K392" s="84"/>
      <c r="L392" s="146"/>
      <c r="M392" s="96" t="s">
        <v>36</v>
      </c>
      <c r="N392" s="85"/>
      <c r="O392" s="107">
        <v>0</v>
      </c>
      <c r="P392" s="242">
        <f t="shared" si="482"/>
        <v>0</v>
      </c>
      <c r="Q392" s="84">
        <f t="shared" si="483"/>
        <v>0</v>
      </c>
      <c r="R392" s="57"/>
      <c r="S392" s="154"/>
      <c r="T392" s="154">
        <f t="shared" si="521"/>
        <v>0</v>
      </c>
      <c r="U392" s="87" t="str">
        <f t="shared" si="522"/>
        <v>NONE</v>
      </c>
      <c r="V392" s="97"/>
      <c r="W392" s="146"/>
      <c r="X392" s="89">
        <f t="shared" si="485"/>
        <v>0</v>
      </c>
      <c r="Y392" s="154"/>
      <c r="Z392" s="113">
        <f t="shared" si="536"/>
        <v>0</v>
      </c>
      <c r="AA392" s="113">
        <f t="shared" si="524"/>
        <v>0</v>
      </c>
      <c r="AB392" s="113"/>
      <c r="AC392" s="155">
        <f t="shared" si="525"/>
        <v>0</v>
      </c>
      <c r="AD392" s="113"/>
      <c r="AE392" s="113">
        <f t="shared" si="526"/>
        <v>0</v>
      </c>
      <c r="AF392" s="113">
        <f>IF(AG392&gt;0,AG249:AG396,0)</f>
        <v>0</v>
      </c>
      <c r="AG392" s="113">
        <f t="shared" si="527"/>
        <v>0</v>
      </c>
      <c r="AI392">
        <f t="shared" si="528"/>
        <v>0</v>
      </c>
      <c r="AJ392">
        <f t="shared" si="529"/>
        <v>0</v>
      </c>
      <c r="AK392">
        <f t="shared" si="530"/>
        <v>0</v>
      </c>
      <c r="AL392">
        <f t="shared" si="531"/>
        <v>0</v>
      </c>
      <c r="AN392">
        <f t="shared" si="532"/>
        <v>0</v>
      </c>
      <c r="AO392">
        <f t="shared" si="533"/>
        <v>0</v>
      </c>
      <c r="AP392">
        <f t="shared" si="534"/>
        <v>0</v>
      </c>
      <c r="AQ392">
        <f t="shared" si="535"/>
        <v>0</v>
      </c>
    </row>
    <row r="393" spans="2:43" x14ac:dyDescent="0.3">
      <c r="B393" s="103" t="s">
        <v>82</v>
      </c>
      <c r="C393" s="86"/>
      <c r="D393" s="84"/>
      <c r="E393" s="85"/>
      <c r="F393" s="85"/>
      <c r="G393" s="84"/>
      <c r="H393" s="148"/>
      <c r="I393" s="85"/>
      <c r="J393" s="84"/>
      <c r="K393" s="84"/>
      <c r="L393" s="146"/>
      <c r="M393" s="96" t="s">
        <v>36</v>
      </c>
      <c r="N393" s="85"/>
      <c r="O393" s="107">
        <v>0</v>
      </c>
      <c r="P393" s="242">
        <f t="shared" si="482"/>
        <v>0</v>
      </c>
      <c r="Q393" s="84">
        <f t="shared" si="483"/>
        <v>0</v>
      </c>
      <c r="R393" s="57"/>
      <c r="S393" s="154"/>
      <c r="T393" s="154">
        <f t="shared" si="521"/>
        <v>0</v>
      </c>
      <c r="U393" s="87" t="str">
        <f t="shared" si="522"/>
        <v>NONE</v>
      </c>
      <c r="V393" s="97"/>
      <c r="W393" s="146"/>
      <c r="X393" s="89">
        <f t="shared" si="485"/>
        <v>0</v>
      </c>
      <c r="Y393" s="154"/>
      <c r="Z393" s="113">
        <f t="shared" si="536"/>
        <v>0</v>
      </c>
      <c r="AA393" s="113">
        <f t="shared" si="524"/>
        <v>0</v>
      </c>
      <c r="AB393" s="113"/>
      <c r="AC393" s="155">
        <f t="shared" si="525"/>
        <v>0</v>
      </c>
      <c r="AD393" s="113"/>
      <c r="AE393" s="113">
        <f t="shared" si="526"/>
        <v>0</v>
      </c>
      <c r="AF393" s="113">
        <f>IF(AG393&gt;0,AG250:AG393,0)</f>
        <v>0</v>
      </c>
      <c r="AG393" s="113">
        <f t="shared" si="527"/>
        <v>0</v>
      </c>
      <c r="AI393">
        <f t="shared" si="528"/>
        <v>0</v>
      </c>
      <c r="AJ393">
        <f t="shared" si="529"/>
        <v>0</v>
      </c>
      <c r="AK393">
        <f t="shared" si="530"/>
        <v>0</v>
      </c>
      <c r="AL393">
        <f t="shared" si="531"/>
        <v>0</v>
      </c>
      <c r="AN393">
        <f t="shared" si="532"/>
        <v>0</v>
      </c>
      <c r="AO393">
        <f t="shared" si="533"/>
        <v>0</v>
      </c>
      <c r="AP393">
        <f t="shared" si="534"/>
        <v>0</v>
      </c>
      <c r="AQ393">
        <f t="shared" si="535"/>
        <v>0</v>
      </c>
    </row>
    <row r="394" spans="2:43" x14ac:dyDescent="0.3">
      <c r="B394" s="84"/>
      <c r="C394" s="84"/>
      <c r="D394" s="84"/>
      <c r="E394" s="85"/>
      <c r="F394" s="85"/>
      <c r="G394" s="85"/>
      <c r="H394" s="148"/>
      <c r="I394" s="85"/>
      <c r="J394" s="84"/>
      <c r="K394" s="84"/>
      <c r="L394" s="146"/>
      <c r="M394" s="96" t="s">
        <v>36</v>
      </c>
      <c r="N394" s="85"/>
      <c r="O394" s="107">
        <v>0</v>
      </c>
      <c r="P394" s="242">
        <f t="shared" si="482"/>
        <v>0</v>
      </c>
      <c r="Q394" s="84">
        <f t="shared" si="483"/>
        <v>0</v>
      </c>
      <c r="R394" s="57"/>
      <c r="S394" s="154"/>
      <c r="T394" s="154">
        <f t="shared" si="521"/>
        <v>0</v>
      </c>
      <c r="U394" s="87" t="str">
        <f t="shared" si="522"/>
        <v>NONE</v>
      </c>
      <c r="V394" s="97"/>
      <c r="W394" s="90"/>
      <c r="X394" s="89">
        <f t="shared" si="485"/>
        <v>0</v>
      </c>
      <c r="Y394" s="154"/>
      <c r="Z394" s="113">
        <f t="shared" si="536"/>
        <v>0</v>
      </c>
      <c r="AA394" s="113">
        <f t="shared" si="524"/>
        <v>0</v>
      </c>
      <c r="AB394" s="113"/>
      <c r="AC394" s="155">
        <f t="shared" si="525"/>
        <v>0</v>
      </c>
      <c r="AD394" s="113"/>
      <c r="AE394" s="113">
        <f t="shared" si="526"/>
        <v>0</v>
      </c>
      <c r="AF394" s="113">
        <f>IF(AG394&gt;0,AG251:AG394,0)</f>
        <v>0</v>
      </c>
      <c r="AG394" s="113">
        <f t="shared" si="527"/>
        <v>0</v>
      </c>
      <c r="AI394">
        <f t="shared" si="528"/>
        <v>0</v>
      </c>
      <c r="AJ394">
        <f t="shared" si="529"/>
        <v>0</v>
      </c>
      <c r="AK394">
        <f t="shared" si="530"/>
        <v>0</v>
      </c>
      <c r="AL394">
        <f t="shared" si="531"/>
        <v>0</v>
      </c>
      <c r="AN394">
        <f t="shared" si="532"/>
        <v>0</v>
      </c>
      <c r="AO394">
        <f t="shared" si="533"/>
        <v>0</v>
      </c>
      <c r="AP394">
        <f t="shared" si="534"/>
        <v>0</v>
      </c>
      <c r="AQ394">
        <f t="shared" si="535"/>
        <v>0</v>
      </c>
    </row>
    <row r="395" spans="2:43" x14ac:dyDescent="0.3">
      <c r="B395" s="86"/>
      <c r="C395" s="84"/>
      <c r="D395" s="85"/>
      <c r="E395" s="84"/>
      <c r="F395" s="84"/>
      <c r="G395" s="148"/>
      <c r="H395" s="148"/>
      <c r="I395" s="85"/>
      <c r="J395" s="84"/>
      <c r="K395" s="84"/>
      <c r="L395" s="90"/>
      <c r="M395" s="96" t="s">
        <v>36</v>
      </c>
      <c r="N395" s="84"/>
      <c r="O395" s="107">
        <v>0</v>
      </c>
      <c r="P395" s="242">
        <f t="shared" si="482"/>
        <v>0</v>
      </c>
      <c r="Q395" s="84">
        <f t="shared" si="483"/>
        <v>0</v>
      </c>
      <c r="R395" s="57"/>
      <c r="S395" s="89"/>
      <c r="T395" s="89">
        <f t="shared" si="521"/>
        <v>0</v>
      </c>
      <c r="U395" s="87" t="str">
        <f t="shared" si="522"/>
        <v>NONE</v>
      </c>
      <c r="V395" s="97"/>
      <c r="W395" s="90"/>
      <c r="X395" s="89">
        <f t="shared" si="485"/>
        <v>0</v>
      </c>
      <c r="Y395" s="89"/>
      <c r="Z395" s="58">
        <f t="shared" si="536"/>
        <v>0</v>
      </c>
      <c r="AA395" s="58">
        <f t="shared" si="524"/>
        <v>0</v>
      </c>
      <c r="AB395" s="58"/>
      <c r="AC395" s="98">
        <f t="shared" si="525"/>
        <v>0</v>
      </c>
      <c r="AD395" s="58"/>
      <c r="AE395" s="58">
        <f t="shared" si="526"/>
        <v>0</v>
      </c>
      <c r="AF395" s="58">
        <f>IF(AG395&gt;0,AG257:AG395,0)</f>
        <v>0</v>
      </c>
      <c r="AG395" s="58">
        <f t="shared" si="527"/>
        <v>0</v>
      </c>
      <c r="AI395">
        <f t="shared" si="528"/>
        <v>0</v>
      </c>
      <c r="AJ395">
        <f t="shared" si="529"/>
        <v>0</v>
      </c>
      <c r="AK395">
        <f t="shared" si="530"/>
        <v>0</v>
      </c>
      <c r="AL395">
        <f t="shared" si="531"/>
        <v>0</v>
      </c>
      <c r="AN395">
        <f t="shared" si="532"/>
        <v>0</v>
      </c>
      <c r="AO395">
        <f t="shared" si="533"/>
        <v>0</v>
      </c>
      <c r="AP395">
        <f t="shared" si="534"/>
        <v>0</v>
      </c>
      <c r="AQ395">
        <f t="shared" si="535"/>
        <v>0</v>
      </c>
    </row>
    <row r="396" spans="2:43" x14ac:dyDescent="0.3">
      <c r="B396" s="103" t="s">
        <v>82</v>
      </c>
      <c r="C396" s="84"/>
      <c r="D396" s="84"/>
      <c r="E396" s="84"/>
      <c r="F396" s="84"/>
      <c r="G396" s="85"/>
      <c r="H396" s="148"/>
      <c r="I396" s="85"/>
      <c r="J396" s="84"/>
      <c r="K396" s="84"/>
      <c r="L396" s="90"/>
      <c r="M396" s="96" t="s">
        <v>36</v>
      </c>
      <c r="N396" s="84"/>
      <c r="O396" s="107">
        <v>0</v>
      </c>
      <c r="P396" s="242">
        <f t="shared" si="482"/>
        <v>0</v>
      </c>
      <c r="Q396" s="84">
        <f t="shared" si="483"/>
        <v>0</v>
      </c>
      <c r="R396" s="57"/>
      <c r="S396" s="89"/>
      <c r="T396" s="89">
        <f t="shared" si="521"/>
        <v>0</v>
      </c>
      <c r="U396" s="87" t="str">
        <f t="shared" si="522"/>
        <v>NONE</v>
      </c>
      <c r="V396" s="97"/>
      <c r="W396" s="90"/>
      <c r="X396" s="89">
        <f t="shared" si="485"/>
        <v>0</v>
      </c>
      <c r="Y396" s="89"/>
      <c r="Z396" s="58">
        <f t="shared" si="536"/>
        <v>0</v>
      </c>
      <c r="AA396" s="58">
        <f t="shared" si="524"/>
        <v>0</v>
      </c>
      <c r="AB396" s="58"/>
      <c r="AC396" s="98">
        <f t="shared" si="525"/>
        <v>0</v>
      </c>
      <c r="AD396" s="58"/>
      <c r="AE396" s="58">
        <f t="shared" si="526"/>
        <v>0</v>
      </c>
      <c r="AF396" s="58">
        <f>IF(AG396&gt;0,AG258:AG396,0)</f>
        <v>0</v>
      </c>
      <c r="AG396" s="58">
        <f t="shared" si="527"/>
        <v>0</v>
      </c>
      <c r="AI396">
        <f t="shared" si="528"/>
        <v>0</v>
      </c>
      <c r="AJ396">
        <f t="shared" si="529"/>
        <v>0</v>
      </c>
      <c r="AK396">
        <f t="shared" si="530"/>
        <v>0</v>
      </c>
      <c r="AL396">
        <f t="shared" si="531"/>
        <v>0</v>
      </c>
      <c r="AN396">
        <f t="shared" si="532"/>
        <v>0</v>
      </c>
      <c r="AO396">
        <f t="shared" si="533"/>
        <v>0</v>
      </c>
      <c r="AP396">
        <f t="shared" si="534"/>
        <v>0</v>
      </c>
      <c r="AQ396">
        <f t="shared" si="535"/>
        <v>0</v>
      </c>
    </row>
    <row r="397" spans="2:43" x14ac:dyDescent="0.3">
      <c r="B397" s="84"/>
      <c r="C397" s="84"/>
      <c r="D397" s="84"/>
      <c r="E397" s="84"/>
      <c r="F397" s="84"/>
      <c r="G397" s="85"/>
      <c r="H397" s="148"/>
      <c r="I397" s="85"/>
      <c r="J397" s="84"/>
      <c r="K397" s="84"/>
      <c r="L397" s="90"/>
      <c r="M397" s="96" t="s">
        <v>36</v>
      </c>
      <c r="N397" s="84"/>
      <c r="O397" s="107">
        <v>0</v>
      </c>
      <c r="P397" s="242">
        <f t="shared" si="482"/>
        <v>0</v>
      </c>
      <c r="Q397" s="84">
        <f t="shared" si="483"/>
        <v>0</v>
      </c>
      <c r="R397" s="57"/>
      <c r="S397" s="89"/>
      <c r="T397" s="89">
        <f t="shared" si="521"/>
        <v>0</v>
      </c>
      <c r="U397" s="87" t="str">
        <f t="shared" si="522"/>
        <v>NONE</v>
      </c>
      <c r="V397" s="97"/>
      <c r="W397" s="90"/>
      <c r="X397" s="89">
        <f t="shared" si="485"/>
        <v>0</v>
      </c>
      <c r="Y397" s="89"/>
      <c r="Z397" s="58">
        <f t="shared" si="536"/>
        <v>0</v>
      </c>
      <c r="AA397" s="58">
        <f t="shared" si="524"/>
        <v>0</v>
      </c>
      <c r="AB397" s="58"/>
      <c r="AC397" s="98">
        <f t="shared" si="525"/>
        <v>0</v>
      </c>
      <c r="AD397" s="58"/>
      <c r="AE397" s="58">
        <f t="shared" si="526"/>
        <v>0</v>
      </c>
      <c r="AF397" s="58">
        <f>IF(AG397&gt;0,AG257:AG397,0)</f>
        <v>0</v>
      </c>
      <c r="AG397" s="58">
        <f t="shared" si="527"/>
        <v>0</v>
      </c>
      <c r="AI397">
        <f t="shared" si="528"/>
        <v>0</v>
      </c>
      <c r="AJ397">
        <f t="shared" si="529"/>
        <v>0</v>
      </c>
      <c r="AK397">
        <f t="shared" si="530"/>
        <v>0</v>
      </c>
      <c r="AL397">
        <f t="shared" si="531"/>
        <v>0</v>
      </c>
      <c r="AN397">
        <f t="shared" si="532"/>
        <v>0</v>
      </c>
      <c r="AO397">
        <f t="shared" si="533"/>
        <v>0</v>
      </c>
      <c r="AP397">
        <f t="shared" si="534"/>
        <v>0</v>
      </c>
      <c r="AQ397">
        <f t="shared" si="535"/>
        <v>0</v>
      </c>
    </row>
    <row r="398" spans="2:43" x14ac:dyDescent="0.3">
      <c r="B398" s="108"/>
      <c r="C398" s="86"/>
      <c r="D398" s="84"/>
      <c r="E398" s="84"/>
      <c r="F398" s="84"/>
      <c r="G398" s="148"/>
      <c r="H398" s="148"/>
      <c r="I398" s="85"/>
      <c r="J398" s="84"/>
      <c r="K398" s="84"/>
      <c r="L398" s="90"/>
      <c r="M398" s="96" t="s">
        <v>36</v>
      </c>
      <c r="N398" s="84"/>
      <c r="O398" s="107">
        <v>0</v>
      </c>
      <c r="P398" s="242">
        <f t="shared" si="482"/>
        <v>0</v>
      </c>
      <c r="Q398" s="84">
        <f t="shared" si="483"/>
        <v>0</v>
      </c>
      <c r="R398" s="57"/>
      <c r="S398" s="89"/>
      <c r="T398" s="89">
        <f t="shared" si="521"/>
        <v>0</v>
      </c>
      <c r="U398" s="87" t="str">
        <f t="shared" si="522"/>
        <v>NONE</v>
      </c>
      <c r="V398" s="97"/>
      <c r="W398" s="90"/>
      <c r="X398" s="89">
        <f t="shared" si="485"/>
        <v>0</v>
      </c>
      <c r="Y398" s="89"/>
      <c r="Z398" s="58">
        <f t="shared" si="536"/>
        <v>0</v>
      </c>
      <c r="AA398" s="58">
        <f t="shared" si="524"/>
        <v>0</v>
      </c>
      <c r="AB398" s="58"/>
      <c r="AC398" s="98">
        <f t="shared" si="525"/>
        <v>0</v>
      </c>
      <c r="AD398" s="58"/>
      <c r="AE398" s="58">
        <f t="shared" si="526"/>
        <v>0</v>
      </c>
      <c r="AF398" s="58">
        <f>IF(AG398&gt;0,AG259:AG398,0)</f>
        <v>0</v>
      </c>
      <c r="AG398" s="58">
        <f t="shared" si="527"/>
        <v>0</v>
      </c>
      <c r="AI398">
        <f t="shared" si="528"/>
        <v>0</v>
      </c>
      <c r="AJ398">
        <f t="shared" si="529"/>
        <v>0</v>
      </c>
      <c r="AK398">
        <f t="shared" si="530"/>
        <v>0</v>
      </c>
      <c r="AL398">
        <f t="shared" si="531"/>
        <v>0</v>
      </c>
      <c r="AN398">
        <f t="shared" si="532"/>
        <v>0</v>
      </c>
      <c r="AO398">
        <f t="shared" si="533"/>
        <v>0</v>
      </c>
      <c r="AP398">
        <f t="shared" si="534"/>
        <v>0</v>
      </c>
      <c r="AQ398">
        <f t="shared" si="535"/>
        <v>0</v>
      </c>
    </row>
    <row r="399" spans="2:43" x14ac:dyDescent="0.3">
      <c r="B399" s="86"/>
      <c r="C399" s="86"/>
      <c r="D399" s="85"/>
      <c r="E399" s="84"/>
      <c r="F399" s="84"/>
      <c r="G399" s="85"/>
      <c r="H399" s="148"/>
      <c r="I399" s="85"/>
      <c r="J399" s="84"/>
      <c r="K399" s="84"/>
      <c r="L399" s="90"/>
      <c r="M399" s="96" t="s">
        <v>36</v>
      </c>
      <c r="N399" s="84"/>
      <c r="O399" s="107">
        <v>0</v>
      </c>
      <c r="P399" s="242">
        <f t="shared" si="482"/>
        <v>0</v>
      </c>
      <c r="Q399" s="84">
        <f t="shared" si="483"/>
        <v>0</v>
      </c>
      <c r="R399" s="57"/>
      <c r="S399" s="89"/>
      <c r="T399" s="89">
        <f t="shared" si="521"/>
        <v>0</v>
      </c>
      <c r="U399" s="87" t="str">
        <f t="shared" si="522"/>
        <v>NONE</v>
      </c>
      <c r="V399" s="97"/>
      <c r="W399" s="90"/>
      <c r="X399" s="89">
        <f t="shared" si="485"/>
        <v>0</v>
      </c>
      <c r="Y399" s="89"/>
      <c r="Z399" s="58">
        <f t="shared" si="536"/>
        <v>0</v>
      </c>
      <c r="AA399" s="58">
        <f t="shared" si="524"/>
        <v>0</v>
      </c>
      <c r="AB399" s="58"/>
      <c r="AC399" s="98">
        <f t="shared" si="525"/>
        <v>0</v>
      </c>
      <c r="AD399" s="58"/>
      <c r="AE399" s="58">
        <f t="shared" si="526"/>
        <v>0</v>
      </c>
      <c r="AF399" s="58">
        <f>IF(AG399&gt;0,AG259:AG399,0)</f>
        <v>0</v>
      </c>
      <c r="AG399" s="58">
        <f t="shared" si="527"/>
        <v>0</v>
      </c>
      <c r="AI399">
        <f t="shared" si="528"/>
        <v>0</v>
      </c>
      <c r="AJ399">
        <f t="shared" si="529"/>
        <v>0</v>
      </c>
      <c r="AK399">
        <f t="shared" si="530"/>
        <v>0</v>
      </c>
      <c r="AL399">
        <f t="shared" si="531"/>
        <v>0</v>
      </c>
      <c r="AN399">
        <f t="shared" si="532"/>
        <v>0</v>
      </c>
      <c r="AO399">
        <f t="shared" si="533"/>
        <v>0</v>
      </c>
      <c r="AP399">
        <f t="shared" si="534"/>
        <v>0</v>
      </c>
      <c r="AQ399">
        <f t="shared" si="535"/>
        <v>0</v>
      </c>
    </row>
    <row r="400" spans="2:43" x14ac:dyDescent="0.3">
      <c r="B400" s="108"/>
      <c r="C400" s="84"/>
      <c r="D400" s="84"/>
      <c r="E400" s="84"/>
      <c r="F400" s="84"/>
      <c r="G400" s="84"/>
      <c r="H400" s="148"/>
      <c r="I400" s="85"/>
      <c r="J400" s="84"/>
      <c r="K400" s="84"/>
      <c r="L400" s="90"/>
      <c r="M400" s="96"/>
      <c r="N400" s="84"/>
      <c r="O400" s="107">
        <v>0</v>
      </c>
      <c r="P400" s="242">
        <f t="shared" si="482"/>
        <v>0</v>
      </c>
      <c r="Q400" s="84">
        <f t="shared" si="483"/>
        <v>0</v>
      </c>
      <c r="R400" s="57"/>
      <c r="S400" s="89"/>
      <c r="T400" s="89">
        <f t="shared" si="521"/>
        <v>0</v>
      </c>
      <c r="U400" s="87" t="str">
        <f t="shared" si="522"/>
        <v>NONE</v>
      </c>
      <c r="V400" s="97"/>
      <c r="W400" s="90"/>
      <c r="X400" s="89">
        <f t="shared" si="485"/>
        <v>0</v>
      </c>
      <c r="Y400" s="89"/>
      <c r="Z400" s="58">
        <f t="shared" si="536"/>
        <v>0</v>
      </c>
      <c r="AA400" s="58">
        <f t="shared" si="524"/>
        <v>0</v>
      </c>
      <c r="AB400" s="58"/>
      <c r="AC400" s="98">
        <f t="shared" si="525"/>
        <v>0</v>
      </c>
      <c r="AD400" s="58"/>
      <c r="AE400" s="58">
        <f t="shared" si="526"/>
        <v>0</v>
      </c>
      <c r="AF400" s="58">
        <f>IF(AG400&gt;0,AG258:AG400,0)</f>
        <v>0</v>
      </c>
      <c r="AG400" s="58">
        <f t="shared" si="527"/>
        <v>0</v>
      </c>
      <c r="AI400">
        <f t="shared" si="528"/>
        <v>0</v>
      </c>
      <c r="AJ400">
        <f t="shared" si="529"/>
        <v>0</v>
      </c>
      <c r="AK400">
        <f t="shared" si="530"/>
        <v>0</v>
      </c>
      <c r="AL400">
        <f t="shared" si="531"/>
        <v>0</v>
      </c>
      <c r="AN400">
        <f t="shared" si="532"/>
        <v>0</v>
      </c>
      <c r="AO400">
        <f t="shared" si="533"/>
        <v>0</v>
      </c>
      <c r="AP400">
        <f t="shared" si="534"/>
        <v>0</v>
      </c>
      <c r="AQ400">
        <f t="shared" si="535"/>
        <v>0</v>
      </c>
    </row>
    <row r="401" spans="1:44" x14ac:dyDescent="0.3">
      <c r="A401" s="45"/>
      <c r="B401" s="192">
        <f>COUNTIFS(D$275:D400,"&lt;&gt;NA")-COUNTIFS(D$275:D400,"="&amp;D79)</f>
        <v>103</v>
      </c>
      <c r="C401" s="174" t="s">
        <v>472</v>
      </c>
      <c r="D401" s="46">
        <f>SUM(E364:E400)</f>
        <v>0</v>
      </c>
      <c r="E401" s="46"/>
      <c r="F401" s="46"/>
      <c r="G401" s="63" t="s">
        <v>215</v>
      </c>
      <c r="H401" s="62">
        <f>SUM(H364:H400)-SUM(E364:E400)</f>
        <v>42</v>
      </c>
      <c r="I401" s="62"/>
      <c r="J401" s="61">
        <f>ROUND(H401/7,0)</f>
        <v>6</v>
      </c>
      <c r="K401" s="61" t="s">
        <v>214</v>
      </c>
      <c r="L401" s="63" t="s">
        <v>216</v>
      </c>
      <c r="M401" s="151">
        <f>ROUND(AF401/J401,0)</f>
        <v>3349</v>
      </c>
      <c r="N401" s="45"/>
      <c r="O401" s="82">
        <f>SUM(O364:O400)</f>
        <v>20744.88</v>
      </c>
      <c r="P401" s="49"/>
      <c r="Q401" s="80">
        <f>Z401</f>
        <v>7432.5</v>
      </c>
      <c r="R401" s="79" t="s">
        <v>254</v>
      </c>
      <c r="S401" s="126"/>
      <c r="T401" s="73"/>
      <c r="U401" s="48"/>
      <c r="V401" s="48"/>
      <c r="W401" s="47"/>
      <c r="X401" s="49"/>
      <c r="Y401" s="49">
        <f>Z401</f>
        <v>7432.5</v>
      </c>
      <c r="Z401" s="49">
        <f>SUM(Z364:Z400)</f>
        <v>7432.5</v>
      </c>
      <c r="AA401" s="49">
        <f>SUM(AA364:AA400)</f>
        <v>780</v>
      </c>
      <c r="AB401" s="49">
        <f>AA401</f>
        <v>780</v>
      </c>
      <c r="AC401" s="45"/>
      <c r="AD401" s="49"/>
      <c r="AE401" s="49">
        <f>SUM(AE364:AE400)</f>
        <v>0</v>
      </c>
      <c r="AF401" s="49">
        <f>SUM(AF364:AF400)</f>
        <v>20094.88</v>
      </c>
      <c r="AG401" s="82">
        <f>SUM(AG364:AG400)</f>
        <v>19964.88</v>
      </c>
      <c r="AH401" s="45">
        <f>AG401</f>
        <v>19964.88</v>
      </c>
      <c r="AI401" s="129">
        <f>SUM(AI364:AI400)</f>
        <v>0</v>
      </c>
      <c r="AJ401" s="129">
        <f>SUM(AJ364:AJ400)</f>
        <v>0</v>
      </c>
      <c r="AK401" s="129">
        <f>SUM(AK364:AK400)</f>
        <v>0</v>
      </c>
      <c r="AL401" s="129">
        <f>SUM(AL364:AL400)</f>
        <v>0</v>
      </c>
      <c r="AM401" s="131">
        <f>SUM(AI401:AL401)</f>
        <v>0</v>
      </c>
      <c r="AN401" s="129">
        <f>SUM(AN364:AN400)</f>
        <v>0</v>
      </c>
      <c r="AO401" s="129">
        <f>SUM(AO364:AO400)</f>
        <v>0</v>
      </c>
      <c r="AP401" s="129">
        <f>SUM(AP364:AP400)</f>
        <v>0</v>
      </c>
      <c r="AQ401" s="129">
        <f>SUM(AQ364:AQ400)</f>
        <v>0</v>
      </c>
      <c r="AR401" s="131">
        <f>SUM(AN401:AQ401)</f>
        <v>0</v>
      </c>
    </row>
    <row r="402" spans="1:44" s="84" customFormat="1" ht="21" customHeight="1" x14ac:dyDescent="0.3">
      <c r="A402" s="130"/>
      <c r="B402" s="132"/>
      <c r="C402" s="133"/>
      <c r="D402" s="132"/>
      <c r="E402" s="132"/>
      <c r="F402" s="132"/>
      <c r="G402" s="134"/>
      <c r="H402" s="135"/>
      <c r="I402" s="135"/>
      <c r="J402" s="136"/>
      <c r="K402" s="136"/>
      <c r="L402" s="134"/>
      <c r="M402" s="137"/>
      <c r="N402" s="130"/>
      <c r="O402" s="138"/>
      <c r="P402" s="139"/>
      <c r="Q402" s="140"/>
      <c r="R402" s="141"/>
      <c r="S402" s="142"/>
      <c r="T402" s="143"/>
      <c r="U402" s="144"/>
      <c r="V402" s="144"/>
      <c r="W402" s="145"/>
      <c r="X402" s="139"/>
      <c r="Y402" s="139"/>
      <c r="Z402" s="139"/>
      <c r="AA402" s="139"/>
      <c r="AB402" s="139"/>
      <c r="AC402" s="130"/>
      <c r="AD402" s="139"/>
      <c r="AE402" s="139"/>
      <c r="AF402" s="139"/>
      <c r="AG402" s="138"/>
      <c r="AH402" s="130"/>
      <c r="AI402" s="119">
        <f>ROUNDUP(AI317*0.05,0)</f>
        <v>0</v>
      </c>
      <c r="AJ402" s="119">
        <f>ROUNDUP(AJ274*0.05,0)</f>
        <v>0</v>
      </c>
      <c r="AK402" s="119">
        <f>ROUNDUP(AK274*0.05,0)</f>
        <v>0</v>
      </c>
      <c r="AL402" s="119">
        <f>ROUNDUP(AL274*0.05,0)</f>
        <v>0</v>
      </c>
      <c r="AM402" s="131">
        <f>SUM(AI402:AL402)</f>
        <v>0</v>
      </c>
      <c r="AN402" s="119">
        <f>ROUNDUP(AN274*0.06,0)</f>
        <v>0</v>
      </c>
      <c r="AO402" s="119">
        <f>ROUNDUP(AO274*0.06,0)</f>
        <v>0</v>
      </c>
      <c r="AP402" s="119">
        <f>ROUNDUP(AP274*0.06,0)</f>
        <v>0</v>
      </c>
      <c r="AQ402" s="119">
        <f>ROUNDUP(AQ274*0.06,0)</f>
        <v>0</v>
      </c>
      <c r="AR402" s="131">
        <f>SUM(AN402:AQ402)</f>
        <v>0</v>
      </c>
    </row>
    <row r="403" spans="1:44" s="84" customFormat="1" ht="21" customHeight="1" x14ac:dyDescent="0.3">
      <c r="A403" s="130"/>
      <c r="B403" s="132"/>
      <c r="C403" s="133"/>
      <c r="D403" s="132"/>
      <c r="E403" s="132"/>
      <c r="F403" s="132"/>
      <c r="G403" s="134"/>
      <c r="H403" s="135"/>
      <c r="I403" s="135"/>
      <c r="J403" s="136"/>
      <c r="K403" s="136"/>
      <c r="L403" s="134"/>
      <c r="M403" s="137"/>
      <c r="N403" s="130"/>
      <c r="O403" s="138"/>
      <c r="P403" s="139"/>
      <c r="Q403" s="140"/>
      <c r="R403" s="141"/>
      <c r="S403" s="142"/>
      <c r="T403" s="143"/>
      <c r="U403" s="144"/>
      <c r="V403" s="144"/>
      <c r="W403" s="145"/>
      <c r="X403" s="139"/>
      <c r="Y403" s="139"/>
      <c r="Z403" s="139"/>
      <c r="AA403" s="139"/>
      <c r="AB403" s="139"/>
      <c r="AC403" s="130"/>
      <c r="AD403" s="139"/>
      <c r="AE403" s="139"/>
      <c r="AF403" s="139"/>
      <c r="AG403" s="138"/>
      <c r="AH403" s="130"/>
      <c r="AI403" s="119"/>
      <c r="AJ403" s="119"/>
      <c r="AK403" s="119"/>
      <c r="AL403" s="119"/>
      <c r="AM403" s="131"/>
      <c r="AN403" s="119"/>
      <c r="AO403" s="119"/>
      <c r="AP403" s="119"/>
      <c r="AQ403" s="119"/>
      <c r="AR403" s="131"/>
    </row>
    <row r="404" spans="1:44" x14ac:dyDescent="0.3">
      <c r="A404" s="20"/>
      <c r="B404" s="21"/>
      <c r="C404" s="22"/>
      <c r="D404" s="21"/>
      <c r="E404" s="21"/>
      <c r="F404" s="21"/>
      <c r="G404" s="21"/>
      <c r="H404" s="21"/>
      <c r="I404" s="21"/>
      <c r="J404" s="21"/>
      <c r="K404" s="20"/>
      <c r="L404" s="23"/>
      <c r="M404" s="24"/>
      <c r="N404" s="20"/>
      <c r="O404" s="25"/>
      <c r="P404" s="25"/>
      <c r="Q404" s="20"/>
      <c r="R404" s="26"/>
      <c r="S404" s="74"/>
      <c r="T404" s="74"/>
      <c r="U404" s="27"/>
      <c r="V404" s="27"/>
      <c r="W404" s="23"/>
      <c r="X404" s="25"/>
      <c r="Y404" s="25"/>
      <c r="Z404" s="25"/>
      <c r="AA404" s="25"/>
      <c r="AB404" s="25"/>
      <c r="AC404" s="20"/>
      <c r="AD404" s="25"/>
      <c r="AE404" s="25"/>
      <c r="AF404" s="25"/>
      <c r="AG404" s="25"/>
    </row>
    <row r="405" spans="1:44" x14ac:dyDescent="0.3">
      <c r="A405" s="37"/>
      <c r="B405" s="38"/>
      <c r="C405" s="39"/>
      <c r="D405" s="38"/>
      <c r="E405" s="38"/>
      <c r="F405" s="38"/>
      <c r="G405" s="38"/>
      <c r="H405" s="38"/>
      <c r="I405" s="38"/>
      <c r="J405" s="38"/>
      <c r="K405" s="37"/>
      <c r="L405" s="40"/>
      <c r="M405" s="41"/>
      <c r="N405" s="37"/>
      <c r="O405" s="42"/>
      <c r="P405" s="42"/>
      <c r="Q405" s="37"/>
      <c r="R405" s="43"/>
      <c r="S405" s="75"/>
      <c r="T405" s="75"/>
      <c r="U405" s="44"/>
      <c r="V405" s="44"/>
      <c r="W405" s="40"/>
      <c r="X405" s="42"/>
      <c r="Y405" s="42"/>
      <c r="Z405" s="42"/>
      <c r="AA405" s="42"/>
      <c r="AB405" s="42"/>
      <c r="AC405" s="37"/>
      <c r="AD405" s="42"/>
      <c r="AE405" s="42"/>
      <c r="AF405" s="42"/>
      <c r="AG405" s="42"/>
    </row>
    <row r="406" spans="1:44" x14ac:dyDescent="0.3">
      <c r="A406" s="20"/>
      <c r="B406" s="21"/>
      <c r="C406" s="22"/>
      <c r="D406" s="21"/>
      <c r="E406" s="21"/>
      <c r="F406" s="21"/>
      <c r="G406" s="21"/>
      <c r="H406" s="21"/>
      <c r="I406" s="21"/>
      <c r="J406" s="21"/>
      <c r="K406" s="20"/>
      <c r="L406" s="23"/>
      <c r="M406" s="24"/>
      <c r="N406" s="20"/>
      <c r="O406" s="25"/>
      <c r="P406" s="25"/>
      <c r="Q406" s="20"/>
      <c r="R406" s="26"/>
      <c r="S406" s="74"/>
      <c r="T406" s="74"/>
      <c r="U406" s="27"/>
      <c r="V406" s="27"/>
      <c r="W406" s="23"/>
      <c r="X406" s="25"/>
      <c r="Y406" s="25"/>
      <c r="Z406" s="25"/>
      <c r="AA406" s="25"/>
      <c r="AB406" s="25"/>
      <c r="AC406" s="20"/>
      <c r="AD406" s="25"/>
      <c r="AE406" s="25"/>
      <c r="AF406" s="25"/>
      <c r="AG406" s="25"/>
    </row>
    <row r="407" spans="1:44" ht="15.6" x14ac:dyDescent="0.3">
      <c r="C407" s="10"/>
      <c r="G407" s="18" t="s">
        <v>122</v>
      </c>
      <c r="H407">
        <f>SUM(H17:H404)-(H108+H73+H34+H142+H184+H224+H273+H317)</f>
        <v>2768</v>
      </c>
      <c r="O407" s="81">
        <f>O108+O73+O34+O142+O184+O224+O273+O317</f>
        <v>355911.58</v>
      </c>
      <c r="P407" s="3" t="s">
        <v>252</v>
      </c>
      <c r="Q407" s="81">
        <f>Z407</f>
        <v>8900.0400000000009</v>
      </c>
      <c r="R407" s="83" t="s">
        <v>254</v>
      </c>
      <c r="S407" s="128"/>
      <c r="Z407">
        <f>SUM(Z17:Z404)-SUM(Y17:Y404)</f>
        <v>8900.0400000000009</v>
      </c>
      <c r="AA407" s="91">
        <f>SUM(AB17:AB402)</f>
        <v>36755</v>
      </c>
      <c r="AB407" s="91"/>
      <c r="AC407" s="91">
        <f>SUM(AC17:AC402)</f>
        <v>395074.57</v>
      </c>
      <c r="AD407" s="92">
        <f>SUM(AD24:AD107)</f>
        <v>0</v>
      </c>
      <c r="AE407" s="91">
        <f>AE184+AE142+AE108+AE73+AE34+AE224+AE273+AE317</f>
        <v>5130</v>
      </c>
      <c r="AG407" s="81">
        <f>SUM(AH17:AH406)</f>
        <v>389914.57</v>
      </c>
    </row>
    <row r="408" spans="1:44" x14ac:dyDescent="0.3">
      <c r="L408"/>
      <c r="AE408" s="77"/>
    </row>
    <row r="409" spans="1:44" x14ac:dyDescent="0.3">
      <c r="G409" s="1" t="s">
        <v>121</v>
      </c>
      <c r="H409">
        <f>H407/7</f>
        <v>395.42857142857144</v>
      </c>
    </row>
    <row r="410" spans="1:44" x14ac:dyDescent="0.3">
      <c r="AE410" s="77"/>
    </row>
    <row r="411" spans="1:44" x14ac:dyDescent="0.3">
      <c r="G411" s="1" t="s">
        <v>129</v>
      </c>
      <c r="H411">
        <f>SUM(E17:E404)</f>
        <v>800</v>
      </c>
    </row>
    <row r="412" spans="1:44" x14ac:dyDescent="0.3">
      <c r="G412" s="1" t="s">
        <v>130</v>
      </c>
      <c r="H412">
        <f>H411/7</f>
        <v>114.28571428571429</v>
      </c>
    </row>
    <row r="414" spans="1:44" x14ac:dyDescent="0.3">
      <c r="G414" s="1" t="s">
        <v>131</v>
      </c>
      <c r="H414">
        <f>H407-H411</f>
        <v>1968</v>
      </c>
      <c r="T414" s="76"/>
    </row>
    <row r="415" spans="1:44" x14ac:dyDescent="0.3">
      <c r="G415" s="1" t="s">
        <v>132</v>
      </c>
      <c r="H415">
        <f>H409-H412</f>
        <v>281.14285714285717</v>
      </c>
    </row>
    <row r="416" spans="1:44" x14ac:dyDescent="0.3">
      <c r="G416" s="1" t="s">
        <v>134</v>
      </c>
      <c r="H416" s="77">
        <f>AG407/H415</f>
        <v>1386.8912550813006</v>
      </c>
    </row>
    <row r="417" spans="2:44" ht="15.6" x14ac:dyDescent="0.3">
      <c r="C417" s="10"/>
    </row>
    <row r="418" spans="2:44" x14ac:dyDescent="0.3">
      <c r="B418" s="93" t="s">
        <v>224</v>
      </c>
      <c r="C418" s="29"/>
      <c r="D418" s="30"/>
      <c r="E418" s="31">
        <f>IF(D418=$B$12,H418,0)</f>
        <v>0</v>
      </c>
      <c r="F418" s="31">
        <f>IF(E418&gt;0,0,1)</f>
        <v>1</v>
      </c>
      <c r="G418" s="30"/>
      <c r="H418" s="30"/>
      <c r="I418" s="30"/>
      <c r="J418" s="30"/>
      <c r="K418" s="31"/>
      <c r="L418" s="32"/>
      <c r="M418" s="33"/>
      <c r="N418" s="31"/>
      <c r="O418" s="34"/>
      <c r="P418" s="34">
        <f>ROUND((O418*0.4),0)</f>
        <v>0</v>
      </c>
      <c r="Q418" s="31">
        <f>IF(O418&gt;0,((O418+500)-P418)+T418,0)</f>
        <v>0</v>
      </c>
      <c r="R418" s="35"/>
      <c r="S418" s="71"/>
      <c r="T418" s="71">
        <f>IF(U418=$AD$2,47,IF(U418=$AD$1,ROUND(((O418+500)*0.039),0),IF(U418=$AD$3,0)))</f>
        <v>0</v>
      </c>
      <c r="U418" s="94" t="str">
        <f>IF(V418=1,$AD$2,IF(V418=2,$AD$1,IF(AND(V418&lt;&gt;1,V418&lt;&gt;20)=TRUE,$AD$3)))</f>
        <v>NONE</v>
      </c>
      <c r="V418" s="70"/>
      <c r="W418" s="32"/>
      <c r="X418" s="71">
        <f>Q418+P418</f>
        <v>0</v>
      </c>
      <c r="Y418" s="71"/>
      <c r="Z418" s="34">
        <f>IF(W418=$Z$1,Q418-500,0)</f>
        <v>0</v>
      </c>
      <c r="AA418" s="34">
        <f>IF(H418&gt;0,130,0)</f>
        <v>0</v>
      </c>
      <c r="AB418" s="34"/>
      <c r="AC418" s="95">
        <f>(O418+T418)-AA418</f>
        <v>0</v>
      </c>
      <c r="AD418" s="34"/>
      <c r="AE418" s="34">
        <f>IF(H418&gt;0,30*F418,0)</f>
        <v>0</v>
      </c>
      <c r="AF418" s="34">
        <f>IF(AG418&gt;0,AG108:AG418,0)</f>
        <v>0</v>
      </c>
      <c r="AG418" s="34">
        <f>AC418-AE418</f>
        <v>0</v>
      </c>
      <c r="AI418">
        <f>IF(S418=1,O418-T418,0)</f>
        <v>0</v>
      </c>
      <c r="AJ418">
        <f>IF(S418=2,O418-T418,0)</f>
        <v>0</v>
      </c>
      <c r="AK418">
        <f>IF(S418=3,O418-T418,0)</f>
        <v>0</v>
      </c>
      <c r="AL418">
        <f>IF(S418=4,O418-T418,0)</f>
        <v>0</v>
      </c>
      <c r="AN418">
        <f>IF(S418=1,O418-T418,0)</f>
        <v>0</v>
      </c>
      <c r="AO418">
        <f>IF(S418=2,O418-T418,0)</f>
        <v>0</v>
      </c>
      <c r="AP418">
        <f>IF(S418=3,O418-T418,0)</f>
        <v>0</v>
      </c>
      <c r="AQ418">
        <f>IF(S418=4,O418-T418,0)</f>
        <v>0</v>
      </c>
    </row>
    <row r="419" spans="2:44" ht="19.2" x14ac:dyDescent="0.45">
      <c r="B419" s="13"/>
      <c r="C419" s="9"/>
      <c r="G419" s="10"/>
      <c r="H419" s="10"/>
      <c r="I419" s="10"/>
    </row>
    <row r="420" spans="2:44" ht="19.2" x14ac:dyDescent="0.45">
      <c r="B420" s="12"/>
      <c r="C420" s="12"/>
      <c r="G420" s="10"/>
      <c r="H420" s="10"/>
      <c r="I420" s="10"/>
    </row>
    <row r="421" spans="2:44" ht="19.2" x14ac:dyDescent="0.45">
      <c r="B421" s="14"/>
      <c r="C421" s="12"/>
      <c r="L421" s="59" t="s">
        <v>253</v>
      </c>
    </row>
    <row r="422" spans="2:44" ht="19.2" x14ac:dyDescent="0.45">
      <c r="B422" s="12"/>
      <c r="C422" s="12"/>
    </row>
    <row r="423" spans="2:44" ht="15" x14ac:dyDescent="0.35">
      <c r="B423" s="14"/>
      <c r="C423" s="14"/>
      <c r="AC423" s="99"/>
    </row>
    <row r="424" spans="2:44" ht="15" x14ac:dyDescent="0.35">
      <c r="B424" s="14"/>
      <c r="C424" s="178"/>
      <c r="AC424" s="101"/>
    </row>
    <row r="425" spans="2:44" x14ac:dyDescent="0.3">
      <c r="B425" s="121"/>
      <c r="D425" s="85"/>
      <c r="E425" s="85"/>
      <c r="F425" s="85"/>
      <c r="G425" s="60"/>
      <c r="H425" s="86"/>
      <c r="I425" s="88"/>
      <c r="J425" s="85"/>
      <c r="K425" s="60"/>
      <c r="L425" s="60"/>
      <c r="M425" s="4"/>
      <c r="N425" s="84"/>
      <c r="O425" s="152"/>
      <c r="AC425" s="101"/>
    </row>
    <row r="426" spans="2:44" x14ac:dyDescent="0.3">
      <c r="B426" s="93" t="s">
        <v>224</v>
      </c>
      <c r="C426" s="29"/>
      <c r="D426" s="30"/>
      <c r="E426" s="31">
        <f>IF(D426=$B$12,H426,0)</f>
        <v>0</v>
      </c>
      <c r="F426" s="31">
        <f>IF(E426&gt;0,0,1)</f>
        <v>1</v>
      </c>
      <c r="G426" s="30"/>
      <c r="H426" s="30"/>
      <c r="I426" s="30"/>
      <c r="J426" s="30"/>
      <c r="K426" s="31"/>
      <c r="L426" s="32"/>
      <c r="M426" s="33"/>
      <c r="N426" s="31"/>
      <c r="O426" s="34">
        <v>0</v>
      </c>
      <c r="P426" s="34">
        <f>ROUND((O426*0.4),0)</f>
        <v>0</v>
      </c>
      <c r="Q426" s="31">
        <f>IF(O426&gt;0,((O426+500)-P426)+T426,0)</f>
        <v>0</v>
      </c>
      <c r="R426" s="35"/>
      <c r="S426" s="71"/>
      <c r="T426" s="71">
        <f>IF(U426=$AD$2,47,IF(U426=$AD$1,ROUND(((O426+500)*0.039),0),IF(U426=$AD$3,0)))</f>
        <v>0</v>
      </c>
      <c r="U426" s="94" t="str">
        <f>IF(V426=1,$AD$2,IF(V426=2,$AD$1,IF(AND(V426&lt;&gt;1,V426&lt;&gt;20)=TRUE,$AD$3)))</f>
        <v>NONE</v>
      </c>
      <c r="V426" s="70"/>
      <c r="W426" s="32"/>
      <c r="X426" s="71">
        <f>Q426+P426</f>
        <v>0</v>
      </c>
      <c r="Y426" s="71"/>
      <c r="Z426" s="34">
        <f>IF(W426=$Z$1,Q426-500,0)</f>
        <v>0</v>
      </c>
      <c r="AA426" s="34">
        <f>IF(H426&gt;0,130,0)</f>
        <v>0</v>
      </c>
      <c r="AB426" s="34"/>
      <c r="AC426" s="95">
        <f>(O426+T426)-AA426</f>
        <v>0</v>
      </c>
      <c r="AD426" s="34"/>
      <c r="AE426" s="34">
        <f>IF(H426&gt;0,30*F426,0)</f>
        <v>0</v>
      </c>
      <c r="AF426" s="34">
        <f>IF(AG426&gt;0,AG116:AG426,0)</f>
        <v>0</v>
      </c>
      <c r="AG426" s="34">
        <f>AC426-AE426</f>
        <v>0</v>
      </c>
      <c r="AI426">
        <f>IF(S426=1,O426-T426,0)</f>
        <v>0</v>
      </c>
      <c r="AJ426">
        <f>IF(S426=2,O426-T426,0)</f>
        <v>0</v>
      </c>
      <c r="AK426">
        <f>IF(S426=3,O426-T426,0)</f>
        <v>0</v>
      </c>
      <c r="AL426">
        <f>IF(S426=4,O426-T426,0)</f>
        <v>0</v>
      </c>
      <c r="AN426">
        <f>IF(S426=1,O426-T426,0)</f>
        <v>0</v>
      </c>
      <c r="AO426">
        <f>IF(S426=2,O426-T426,0)</f>
        <v>0</v>
      </c>
      <c r="AP426">
        <f>IF(S426=3,O426-T426,0)</f>
        <v>0</v>
      </c>
      <c r="AQ426">
        <f>IF(S426=4,O426-T426,0)</f>
        <v>0</v>
      </c>
    </row>
    <row r="428" spans="2:44" x14ac:dyDescent="0.3"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90"/>
      <c r="M428" s="84"/>
      <c r="N428" s="84"/>
      <c r="O428" s="84"/>
      <c r="P428" s="84"/>
      <c r="Q428" s="84"/>
      <c r="R428" s="84"/>
      <c r="S428" s="98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</row>
    <row r="429" spans="2:44" x14ac:dyDescent="0.3"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90"/>
      <c r="M429" s="84"/>
      <c r="N429" s="84"/>
      <c r="O429" s="84"/>
      <c r="P429" s="84"/>
      <c r="Q429" s="84"/>
      <c r="R429" s="84"/>
      <c r="S429" s="98"/>
      <c r="T429" s="84"/>
      <c r="U429" s="84"/>
      <c r="V429" s="84"/>
      <c r="W429" s="84"/>
      <c r="X429" s="84"/>
      <c r="Y429" s="84"/>
      <c r="Z429" s="84"/>
      <c r="AA429" s="84"/>
      <c r="AB429" s="84"/>
      <c r="AC429" s="84"/>
      <c r="AD429" s="84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</row>
    <row r="430" spans="2:44" x14ac:dyDescent="0.3"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90"/>
      <c r="M430" s="84"/>
      <c r="N430" s="84"/>
      <c r="O430" s="84"/>
      <c r="P430" s="84"/>
      <c r="Q430" s="84"/>
      <c r="R430" s="84"/>
      <c r="S430" s="98"/>
      <c r="T430" s="84"/>
      <c r="U430" s="84"/>
      <c r="V430" s="84"/>
      <c r="W430" s="84"/>
      <c r="X430" s="84"/>
      <c r="Y430" s="84"/>
      <c r="Z430" s="84"/>
      <c r="AA430" s="84"/>
      <c r="AB430" s="84"/>
      <c r="AC430" s="84"/>
      <c r="AD430" s="84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</row>
    <row r="431" spans="2:44" x14ac:dyDescent="0.3"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90"/>
      <c r="M431" s="84"/>
      <c r="N431" s="84"/>
      <c r="O431" s="84"/>
      <c r="P431" s="84"/>
      <c r="Q431" s="84"/>
      <c r="R431" s="84"/>
      <c r="S431" s="98"/>
      <c r="T431" s="84"/>
      <c r="U431" s="84"/>
      <c r="V431" s="84"/>
      <c r="W431" s="84"/>
      <c r="X431" s="84"/>
      <c r="Y431" s="84"/>
      <c r="Z431" s="84"/>
      <c r="AA431" s="84"/>
      <c r="AB431" s="84"/>
      <c r="AC431" s="84"/>
      <c r="AD431" s="84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</row>
    <row r="432" spans="2:44" x14ac:dyDescent="0.3">
      <c r="B432" s="115"/>
      <c r="C432" s="199"/>
      <c r="D432" s="84"/>
      <c r="E432" s="84"/>
      <c r="F432" s="84"/>
      <c r="G432" s="84"/>
      <c r="H432" s="84"/>
      <c r="I432" s="84"/>
      <c r="J432" s="84"/>
      <c r="K432" s="84"/>
      <c r="L432" s="90"/>
      <c r="M432" s="84"/>
      <c r="N432" s="84"/>
      <c r="O432" s="84"/>
      <c r="P432" s="84"/>
      <c r="Q432" s="84"/>
      <c r="R432" s="84"/>
      <c r="S432" s="98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  <c r="AJ432" s="84"/>
      <c r="AK432" s="84"/>
      <c r="AL432" s="84"/>
      <c r="AM432" s="84"/>
      <c r="AN432" s="84"/>
      <c r="AO432" s="84"/>
      <c r="AP432" s="84"/>
      <c r="AQ432" s="84"/>
      <c r="AR432" s="84"/>
    </row>
    <row r="433" spans="2:44" x14ac:dyDescent="0.3">
      <c r="B433" s="86"/>
      <c r="C433" s="84"/>
      <c r="D433" s="84"/>
      <c r="E433" s="85"/>
      <c r="F433" s="85"/>
      <c r="G433" s="148"/>
      <c r="H433" s="86"/>
      <c r="I433" s="85"/>
      <c r="J433" s="84"/>
      <c r="K433" s="84"/>
      <c r="L433" s="146"/>
      <c r="M433" s="96"/>
      <c r="N433" s="85"/>
      <c r="O433" s="58"/>
      <c r="P433" s="113"/>
      <c r="Q433" s="85"/>
      <c r="R433" s="84"/>
      <c r="S433" s="154"/>
      <c r="T433" s="154"/>
      <c r="U433" s="87"/>
      <c r="V433" s="97"/>
      <c r="W433" s="146"/>
      <c r="X433" s="89"/>
      <c r="Y433" s="154"/>
      <c r="Z433" s="113"/>
      <c r="AA433" s="113"/>
      <c r="AB433" s="113"/>
      <c r="AC433" s="155"/>
      <c r="AD433" s="113"/>
      <c r="AE433" s="113"/>
      <c r="AF433" s="113"/>
      <c r="AG433" s="113"/>
      <c r="AH433" s="84"/>
      <c r="AI433" s="84"/>
      <c r="AJ433" s="84"/>
      <c r="AK433" s="84"/>
      <c r="AL433" s="84"/>
      <c r="AM433" s="84"/>
      <c r="AN433" s="84"/>
      <c r="AO433" s="84"/>
      <c r="AP433" s="84"/>
      <c r="AQ433" s="84"/>
      <c r="AR433" s="84"/>
    </row>
    <row r="434" spans="2:44" ht="18.600000000000001" customHeight="1" x14ac:dyDescent="0.4">
      <c r="B434" s="208"/>
      <c r="C434" s="209"/>
      <c r="D434" s="209"/>
      <c r="E434" s="209"/>
      <c r="F434" s="209"/>
      <c r="G434" s="209"/>
      <c r="H434" s="84"/>
      <c r="I434" s="84"/>
      <c r="J434" s="84"/>
      <c r="K434" s="84"/>
      <c r="L434" s="90"/>
      <c r="M434" s="84"/>
      <c r="N434" s="84"/>
      <c r="O434" s="84"/>
      <c r="P434" s="84"/>
      <c r="Q434" s="84"/>
      <c r="R434" s="84"/>
      <c r="S434" s="98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  <c r="AN434" s="84"/>
      <c r="AO434" s="84"/>
      <c r="AP434" s="84"/>
      <c r="AQ434" s="84"/>
      <c r="AR434" s="84"/>
    </row>
    <row r="435" spans="2:44" x14ac:dyDescent="0.3"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90"/>
      <c r="M435" s="84"/>
      <c r="N435" s="84"/>
      <c r="O435" s="84"/>
      <c r="P435" s="84"/>
      <c r="Q435" s="84"/>
      <c r="R435" s="84"/>
      <c r="S435" s="98"/>
      <c r="T435" s="84"/>
      <c r="U435" s="84"/>
      <c r="V435" s="84"/>
      <c r="W435" s="84"/>
      <c r="X435" s="84"/>
      <c r="Y435" s="84"/>
      <c r="Z435" s="84"/>
      <c r="AA435" s="84"/>
      <c r="AB435" s="84"/>
      <c r="AC435" s="84"/>
      <c r="AD435" s="84"/>
      <c r="AE435" s="84"/>
      <c r="AF435" s="84"/>
      <c r="AG435" s="84"/>
      <c r="AH435" s="84"/>
      <c r="AI435" s="84"/>
      <c r="AJ435" s="84"/>
      <c r="AK435" s="84"/>
      <c r="AL435" s="84"/>
      <c r="AM435" s="84"/>
      <c r="AN435" s="84"/>
      <c r="AO435" s="84"/>
      <c r="AP435" s="84"/>
      <c r="AQ435" s="84"/>
      <c r="AR435" s="84"/>
    </row>
    <row r="436" spans="2:44" x14ac:dyDescent="0.3">
      <c r="B436" s="147"/>
      <c r="C436" s="84"/>
      <c r="D436" s="85"/>
      <c r="E436" s="85"/>
      <c r="F436" s="85"/>
      <c r="G436" s="148"/>
      <c r="H436" s="86"/>
      <c r="I436" s="85"/>
      <c r="J436" s="84"/>
      <c r="K436" s="84"/>
      <c r="L436" s="146"/>
      <c r="M436" s="96"/>
      <c r="N436" s="85"/>
      <c r="O436" s="58"/>
      <c r="P436" s="113"/>
      <c r="Q436" s="85"/>
      <c r="R436" s="57"/>
      <c r="S436" s="154"/>
      <c r="T436" s="154"/>
      <c r="U436" s="87"/>
      <c r="V436" s="97"/>
      <c r="W436" s="109"/>
      <c r="X436" s="89"/>
      <c r="Y436" s="154"/>
      <c r="Z436" s="113"/>
      <c r="AA436" s="113"/>
      <c r="AB436" s="113"/>
      <c r="AC436" s="155"/>
      <c r="AD436" s="113"/>
      <c r="AE436" s="113"/>
      <c r="AF436" s="113"/>
      <c r="AG436" s="113"/>
      <c r="AH436" s="84"/>
      <c r="AI436" s="84"/>
      <c r="AJ436" s="84"/>
      <c r="AK436" s="84"/>
      <c r="AL436" s="84"/>
      <c r="AM436" s="84"/>
      <c r="AN436" s="84"/>
      <c r="AO436" s="84"/>
      <c r="AP436" s="84"/>
      <c r="AQ436" s="84"/>
      <c r="AR436" s="84"/>
    </row>
    <row r="437" spans="2:44" x14ac:dyDescent="0.3"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90"/>
      <c r="M437" s="84"/>
      <c r="N437" s="84"/>
      <c r="O437" s="84"/>
      <c r="P437" s="84"/>
      <c r="Q437" s="84"/>
      <c r="R437" s="84"/>
      <c r="S437" s="98"/>
      <c r="T437" s="84"/>
      <c r="U437" s="84"/>
      <c r="V437" s="84"/>
      <c r="W437" s="84"/>
      <c r="X437" s="84"/>
      <c r="Y437" s="84"/>
      <c r="Z437" s="84"/>
      <c r="AA437" s="84"/>
      <c r="AB437" s="84"/>
      <c r="AC437" s="84"/>
      <c r="AD437" s="84"/>
      <c r="AE437" s="84"/>
      <c r="AF437" s="84"/>
      <c r="AG437" s="84"/>
      <c r="AH437" s="84"/>
      <c r="AI437" s="84"/>
      <c r="AJ437" s="84"/>
      <c r="AK437" s="84"/>
      <c r="AL437" s="84"/>
      <c r="AM437" s="84"/>
      <c r="AN437" s="84"/>
      <c r="AO437" s="84"/>
      <c r="AP437" s="84"/>
      <c r="AQ437" s="84"/>
      <c r="AR437" s="84"/>
    </row>
    <row r="438" spans="2:44" x14ac:dyDescent="0.3"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90"/>
      <c r="M438" s="84"/>
      <c r="N438" s="84"/>
      <c r="O438" s="84"/>
      <c r="P438" s="84"/>
      <c r="Q438" s="84"/>
      <c r="R438" s="84"/>
      <c r="S438" s="98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  <c r="AJ438" s="84"/>
      <c r="AK438" s="84"/>
      <c r="AL438" s="84"/>
      <c r="AM438" s="84"/>
      <c r="AN438" s="84"/>
      <c r="AO438" s="84"/>
      <c r="AP438" s="84"/>
      <c r="AQ438" s="84"/>
      <c r="AR438" s="84"/>
    </row>
    <row r="439" spans="2:44" x14ac:dyDescent="0.3"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90"/>
      <c r="M439" s="84"/>
      <c r="N439" s="84"/>
      <c r="O439" s="84"/>
      <c r="P439" s="84"/>
      <c r="Q439" s="84"/>
      <c r="R439" s="84"/>
      <c r="S439" s="98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I439" s="84"/>
      <c r="AJ439" s="84"/>
      <c r="AK439" s="84"/>
      <c r="AL439" s="84"/>
      <c r="AM439" s="84"/>
      <c r="AN439" s="84"/>
      <c r="AO439" s="84"/>
      <c r="AP439" s="84"/>
      <c r="AQ439" s="84"/>
      <c r="AR439" s="84"/>
    </row>
    <row r="440" spans="2:44" x14ac:dyDescent="0.3">
      <c r="B440" s="115"/>
      <c r="C440" s="84"/>
      <c r="D440" s="84"/>
      <c r="E440" s="84"/>
      <c r="F440" s="84"/>
      <c r="G440" s="84"/>
      <c r="H440" s="84"/>
      <c r="I440" s="84"/>
      <c r="J440" s="84"/>
      <c r="K440" s="84"/>
      <c r="L440" s="90"/>
      <c r="M440" s="84"/>
      <c r="N440" s="84"/>
      <c r="O440" s="84"/>
      <c r="P440" s="84"/>
      <c r="Q440" s="84"/>
      <c r="R440" s="84"/>
      <c r="S440" s="98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  <c r="AN440" s="84"/>
      <c r="AO440" s="84"/>
      <c r="AP440" s="84"/>
      <c r="AQ440" s="84"/>
      <c r="AR440" s="84"/>
    </row>
    <row r="441" spans="2:44" x14ac:dyDescent="0.3"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90"/>
      <c r="M441" s="84"/>
      <c r="N441" s="84"/>
      <c r="O441" s="84"/>
      <c r="P441" s="84"/>
      <c r="Q441" s="84"/>
      <c r="R441" s="84"/>
      <c r="S441" s="98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</row>
    <row r="442" spans="2:44" x14ac:dyDescent="0.3"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90"/>
      <c r="M442" s="84"/>
      <c r="N442" s="84"/>
      <c r="O442" s="84"/>
      <c r="P442" s="84"/>
      <c r="Q442" s="84"/>
      <c r="R442" s="84"/>
      <c r="S442" s="98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  <c r="AN442" s="84"/>
      <c r="AO442" s="84"/>
      <c r="AP442" s="84"/>
      <c r="AQ442" s="84"/>
      <c r="AR442" s="84"/>
    </row>
    <row r="443" spans="2:44" x14ac:dyDescent="0.3"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90"/>
      <c r="M443" s="84"/>
      <c r="N443" s="84"/>
      <c r="O443" s="84"/>
      <c r="P443" s="84"/>
      <c r="Q443" s="84"/>
      <c r="R443" s="84"/>
      <c r="S443" s="98"/>
      <c r="T443" s="84"/>
      <c r="U443" s="84"/>
      <c r="V443" s="84"/>
      <c r="W443" s="84"/>
      <c r="X443" s="84"/>
      <c r="Y443" s="84"/>
      <c r="Z443" s="84"/>
      <c r="AA443" s="84"/>
      <c r="AB443" s="84"/>
      <c r="AC443" s="84"/>
      <c r="AD443" s="84"/>
      <c r="AE443" s="84"/>
      <c r="AF443" s="84"/>
      <c r="AG443" s="84"/>
      <c r="AH443" s="84"/>
      <c r="AI443" s="84"/>
      <c r="AJ443" s="84"/>
      <c r="AK443" s="84"/>
      <c r="AL443" s="84"/>
      <c r="AM443" s="84"/>
      <c r="AN443" s="84"/>
      <c r="AO443" s="84"/>
      <c r="AP443" s="84"/>
      <c r="AQ443" s="84"/>
      <c r="AR443" s="84"/>
    </row>
  </sheetData>
  <phoneticPr fontId="21" type="noConversion"/>
  <hyperlinks>
    <hyperlink ref="L286" r:id="rId1" display="tel:%28260%29 515-5934"/>
    <hyperlink ref="C308" r:id="rId2" display="vito.lenoci@lenocifragrancegroup.com"/>
    <hyperlink ref="C369" r:id="rId3"/>
    <hyperlink ref="C305" r:id="rId4"/>
    <hyperlink ref="C306" r:id="rId5"/>
    <hyperlink ref="C307" r:id="rId6"/>
    <hyperlink ref="C322" r:id="rId7"/>
    <hyperlink ref="C328" r:id="rId8"/>
    <hyperlink ref="C329" r:id="rId9" display="chrisjjacks@gmail.com"/>
    <hyperlink ref="C319" r:id="rId10"/>
    <hyperlink ref="B339" r:id="rId11" display="https://www.homeaway.com/traveler/profiles/a2a79964-6580-4dd7-b737-e5244aa5596f"/>
    <hyperlink ref="C339" r:id="rId12"/>
    <hyperlink ref="C331" r:id="rId13"/>
    <hyperlink ref="C320" r:id="rId14"/>
    <hyperlink ref="C330" r:id="rId15"/>
    <hyperlink ref="C334" r:id="rId16"/>
    <hyperlink ref="C326" r:id="rId17"/>
    <hyperlink ref="C379" r:id="rId18"/>
    <hyperlink ref="C327" r:id="rId19" display="kristin.kemezys@gmail.com  603 718 1232"/>
    <hyperlink ref="C341" r:id="rId20"/>
    <hyperlink ref="C349" r:id="rId21"/>
    <hyperlink ref="C372" r:id="rId22"/>
    <hyperlink ref="C358" r:id="rId23"/>
    <hyperlink ref="C345" r:id="rId24"/>
    <hyperlink ref="C346" r:id="rId25"/>
  </hyperlinks>
  <pageMargins left="0.7" right="0.7" top="0.75" bottom="0.75" header="0.3" footer="0.3"/>
  <pageSetup orientation="portrait" r:id="rId26"/>
  <ignoredErrors>
    <ignoredError sqref="R44:R45 R30 R42 R39 R21:R27 R63 R48:R51 R37 R84 R58:R59 R54:R56 R76:R79 R65 R61 R86:R87 R91 R104 R94 R146:R147 R151 R158:R169 R172 R232:R233 R191:R208 R240 R217:R222 R210:R215 R238" twoDigitTextYear="1"/>
    <ignoredError sqref="P45 Q51 Q46 Q48 X57:X58 AC47 AC58 AC57 T78 T60 T64 Q78 T47 T55 AC55 Q55 Q65 AM34:AM35 Q146 P358" formula="1"/>
    <ignoredError sqref="F16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paul-mobil</cp:lastModifiedBy>
  <dcterms:created xsi:type="dcterms:W3CDTF">2010-06-05T09:28:51Z</dcterms:created>
  <dcterms:modified xsi:type="dcterms:W3CDTF">2018-07-15T17:47:06Z</dcterms:modified>
</cp:coreProperties>
</file>