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60" yWindow="4470" windowWidth="14490" windowHeight="14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0" i="1" l="1"/>
  <c r="AQ203" i="1"/>
  <c r="AP203" i="1"/>
  <c r="AO203" i="1"/>
  <c r="AN203" i="1"/>
  <c r="AL203" i="1"/>
  <c r="AK203" i="1"/>
  <c r="AJ203" i="1"/>
  <c r="AI203" i="1"/>
  <c r="AA203" i="1"/>
  <c r="Z203" i="1"/>
  <c r="U203" i="1"/>
  <c r="T203" i="1" s="1"/>
  <c r="AC203" i="1" s="1"/>
  <c r="P203" i="1"/>
  <c r="E203" i="1"/>
  <c r="F203" i="1" s="1"/>
  <c r="AE203" i="1" s="1"/>
  <c r="Q203" i="1" l="1"/>
  <c r="X203" i="1" s="1"/>
  <c r="AG203" i="1"/>
  <c r="AF203" i="1" s="1"/>
  <c r="P169" i="1"/>
  <c r="AQ170" i="1" l="1"/>
  <c r="AP170" i="1"/>
  <c r="AO170" i="1"/>
  <c r="AN170" i="1"/>
  <c r="AL170" i="1"/>
  <c r="AK170" i="1"/>
  <c r="AJ170" i="1"/>
  <c r="AI170" i="1"/>
  <c r="AA170" i="1"/>
  <c r="Z170" i="1"/>
  <c r="U170" i="1"/>
  <c r="T170" i="1"/>
  <c r="AC170" i="1" s="1"/>
  <c r="Q170" i="1"/>
  <c r="P170" i="1"/>
  <c r="X170" i="1" s="1"/>
  <c r="E170" i="1"/>
  <c r="F170" i="1" s="1"/>
  <c r="AE170" i="1" s="1"/>
  <c r="AQ188" i="1"/>
  <c r="AP188" i="1"/>
  <c r="AO188" i="1"/>
  <c r="AL188" i="1"/>
  <c r="AK188" i="1"/>
  <c r="AJ188" i="1"/>
  <c r="AA188" i="1"/>
  <c r="Z188" i="1"/>
  <c r="U188" i="1"/>
  <c r="T188" i="1" s="1"/>
  <c r="AC188" i="1" s="1"/>
  <c r="P188" i="1"/>
  <c r="E188" i="1"/>
  <c r="F188" i="1" s="1"/>
  <c r="AE188" i="1" s="1"/>
  <c r="G11" i="1"/>
  <c r="G9" i="1"/>
  <c r="M10" i="1"/>
  <c r="AQ201" i="1"/>
  <c r="AP201" i="1"/>
  <c r="AO201" i="1"/>
  <c r="AN201" i="1"/>
  <c r="AL201" i="1"/>
  <c r="AK201" i="1"/>
  <c r="AJ201" i="1"/>
  <c r="AI201" i="1"/>
  <c r="AA201" i="1"/>
  <c r="Z201" i="1"/>
  <c r="U201" i="1"/>
  <c r="T201" i="1" s="1"/>
  <c r="P201" i="1"/>
  <c r="E201" i="1"/>
  <c r="F201" i="1" s="1"/>
  <c r="AE201" i="1" s="1"/>
  <c r="AQ189" i="1"/>
  <c r="AP189" i="1"/>
  <c r="AO189" i="1"/>
  <c r="AL189" i="1"/>
  <c r="AK189" i="1"/>
  <c r="AJ189" i="1"/>
  <c r="AE189" i="1"/>
  <c r="AA189" i="1"/>
  <c r="Z189" i="1"/>
  <c r="U189" i="1"/>
  <c r="T189" i="1" s="1"/>
  <c r="AN189" i="1" s="1"/>
  <c r="Q189" i="1"/>
  <c r="P189" i="1"/>
  <c r="E189" i="1"/>
  <c r="F189" i="1" s="1"/>
  <c r="AQ187" i="1"/>
  <c r="AP187" i="1"/>
  <c r="AO187" i="1"/>
  <c r="AL187" i="1"/>
  <c r="AK187" i="1"/>
  <c r="AJ187" i="1"/>
  <c r="AE187" i="1"/>
  <c r="AA187" i="1"/>
  <c r="Z187" i="1"/>
  <c r="U187" i="1"/>
  <c r="T187" i="1" s="1"/>
  <c r="AN187" i="1" s="1"/>
  <c r="Q187" i="1"/>
  <c r="P187" i="1"/>
  <c r="E187" i="1"/>
  <c r="F187" i="1" s="1"/>
  <c r="AQ186" i="1"/>
  <c r="AP186" i="1"/>
  <c r="AO186" i="1"/>
  <c r="AL186" i="1"/>
  <c r="AK186" i="1"/>
  <c r="AJ186" i="1"/>
  <c r="AE186" i="1"/>
  <c r="AA186" i="1"/>
  <c r="Z186" i="1"/>
  <c r="U186" i="1"/>
  <c r="T186" i="1" s="1"/>
  <c r="AN186" i="1" s="1"/>
  <c r="Q186" i="1"/>
  <c r="P186" i="1"/>
  <c r="E186" i="1"/>
  <c r="F186" i="1" s="1"/>
  <c r="AQ199" i="1"/>
  <c r="AP199" i="1"/>
  <c r="AO199" i="1"/>
  <c r="AN199" i="1"/>
  <c r="AL199" i="1"/>
  <c r="AK199" i="1"/>
  <c r="AJ199" i="1"/>
  <c r="AI199" i="1"/>
  <c r="AA199" i="1"/>
  <c r="U199" i="1"/>
  <c r="T199" i="1" s="1"/>
  <c r="P199" i="1"/>
  <c r="E199" i="1"/>
  <c r="F199" i="1" s="1"/>
  <c r="AE199" i="1" s="1"/>
  <c r="AQ198" i="1"/>
  <c r="AP198" i="1"/>
  <c r="AO198" i="1"/>
  <c r="AN198" i="1"/>
  <c r="AL198" i="1"/>
  <c r="AK198" i="1"/>
  <c r="AJ198" i="1"/>
  <c r="AI198" i="1"/>
  <c r="AA198" i="1"/>
  <c r="U198" i="1"/>
  <c r="T198" i="1" s="1"/>
  <c r="P198" i="1"/>
  <c r="E198" i="1"/>
  <c r="F198" i="1" s="1"/>
  <c r="AE198" i="1" s="1"/>
  <c r="AQ172" i="1"/>
  <c r="AP172" i="1"/>
  <c r="AO172" i="1"/>
  <c r="AN172" i="1"/>
  <c r="AL172" i="1"/>
  <c r="AK172" i="1"/>
  <c r="AJ172" i="1"/>
  <c r="AI172" i="1"/>
  <c r="AA172" i="1"/>
  <c r="U172" i="1"/>
  <c r="P172" i="1"/>
  <c r="E172" i="1"/>
  <c r="F172" i="1" s="1"/>
  <c r="AE172" i="1" s="1"/>
  <c r="AI188" i="1" l="1"/>
  <c r="AG170" i="1"/>
  <c r="AF170" i="1" s="1"/>
  <c r="AN188" i="1"/>
  <c r="AI186" i="1"/>
  <c r="AI189" i="1"/>
  <c r="AI187" i="1"/>
  <c r="Q188" i="1"/>
  <c r="X188" i="1" s="1"/>
  <c r="AG188" i="1"/>
  <c r="AF188" i="1" s="1"/>
  <c r="AC201" i="1"/>
  <c r="AG201" i="1" s="1"/>
  <c r="AF201" i="1" s="1"/>
  <c r="Q201" i="1"/>
  <c r="X201" i="1" s="1"/>
  <c r="X189" i="1"/>
  <c r="X186" i="1"/>
  <c r="AC189" i="1"/>
  <c r="AG189" i="1" s="1"/>
  <c r="AF189" i="1" s="1"/>
  <c r="X187" i="1"/>
  <c r="AC199" i="1"/>
  <c r="AG199" i="1" s="1"/>
  <c r="AF199" i="1" s="1"/>
  <c r="AC186" i="1"/>
  <c r="AG186" i="1" s="1"/>
  <c r="AF186" i="1" s="1"/>
  <c r="AC187" i="1"/>
  <c r="AG187" i="1" s="1"/>
  <c r="AF187" i="1" s="1"/>
  <c r="Q199" i="1"/>
  <c r="Q198" i="1"/>
  <c r="AC198" i="1"/>
  <c r="AG198" i="1" s="1"/>
  <c r="AF198" i="1" s="1"/>
  <c r="Q172" i="1"/>
  <c r="AC172" i="1"/>
  <c r="AG172" i="1" s="1"/>
  <c r="AF172" i="1" s="1"/>
  <c r="AQ192" i="1"/>
  <c r="AP192" i="1"/>
  <c r="AO192" i="1"/>
  <c r="AL192" i="1"/>
  <c r="AK192" i="1"/>
  <c r="AJ192" i="1"/>
  <c r="AA192" i="1"/>
  <c r="U192" i="1"/>
  <c r="T192" i="1" s="1"/>
  <c r="P192" i="1"/>
  <c r="E192" i="1"/>
  <c r="F192" i="1" s="1"/>
  <c r="AE192" i="1" s="1"/>
  <c r="X199" i="1" l="1"/>
  <c r="Z199" i="1"/>
  <c r="X198" i="1"/>
  <c r="Z198" i="1"/>
  <c r="X172" i="1"/>
  <c r="Z172" i="1"/>
  <c r="AC192" i="1"/>
  <c r="AG192" i="1" s="1"/>
  <c r="AF192" i="1" s="1"/>
  <c r="AN192" i="1"/>
  <c r="AI192" i="1"/>
  <c r="Q192" i="1"/>
  <c r="AQ195" i="1"/>
  <c r="AP195" i="1"/>
  <c r="AO195" i="1"/>
  <c r="AN195" i="1"/>
  <c r="AL195" i="1"/>
  <c r="AK195" i="1"/>
  <c r="AJ195" i="1"/>
  <c r="AI195" i="1"/>
  <c r="AA195" i="1"/>
  <c r="Z195" i="1"/>
  <c r="U195" i="1"/>
  <c r="T195" i="1" s="1"/>
  <c r="Q195" i="1"/>
  <c r="P195" i="1"/>
  <c r="E195" i="1"/>
  <c r="F195" i="1" s="1"/>
  <c r="AE195" i="1" s="1"/>
  <c r="X192" i="1" l="1"/>
  <c r="Z192" i="1"/>
  <c r="X195" i="1"/>
  <c r="AC195" i="1"/>
  <c r="AG195" i="1" s="1"/>
  <c r="AF195" i="1" s="1"/>
  <c r="U2" i="1"/>
  <c r="AQ194" i="1" l="1"/>
  <c r="AP194" i="1"/>
  <c r="AO194" i="1"/>
  <c r="AN194" i="1"/>
  <c r="AL194" i="1"/>
  <c r="AK194" i="1"/>
  <c r="AJ194" i="1"/>
  <c r="AI194" i="1"/>
  <c r="AA194" i="1"/>
  <c r="U194" i="1"/>
  <c r="T194" i="1" s="1"/>
  <c r="Q194" i="1" s="1"/>
  <c r="Z194" i="1" s="1"/>
  <c r="E194" i="1"/>
  <c r="F194" i="1" s="1"/>
  <c r="AE194" i="1" s="1"/>
  <c r="W2" i="1"/>
  <c r="M9" i="1"/>
  <c r="AQ205" i="1"/>
  <c r="AP205" i="1"/>
  <c r="AO205" i="1"/>
  <c r="AN205" i="1"/>
  <c r="AL205" i="1"/>
  <c r="AK205" i="1"/>
  <c r="AJ205" i="1"/>
  <c r="AI205" i="1"/>
  <c r="AA205" i="1"/>
  <c r="U205" i="1"/>
  <c r="T205" i="1" s="1"/>
  <c r="P205" i="1"/>
  <c r="E205" i="1"/>
  <c r="F205" i="1" s="1"/>
  <c r="AE205" i="1" s="1"/>
  <c r="M11" i="1"/>
  <c r="AQ196" i="1"/>
  <c r="AP196" i="1"/>
  <c r="AO196" i="1"/>
  <c r="AN196" i="1"/>
  <c r="AL196" i="1"/>
  <c r="AK196" i="1"/>
  <c r="AJ196" i="1"/>
  <c r="AI196" i="1"/>
  <c r="AA196" i="1"/>
  <c r="U196" i="1"/>
  <c r="T196" i="1" s="1"/>
  <c r="P196" i="1"/>
  <c r="E196" i="1"/>
  <c r="F196" i="1" s="1"/>
  <c r="AE196" i="1" s="1"/>
  <c r="Q205" i="1" l="1"/>
  <c r="X194" i="1"/>
  <c r="AC194" i="1"/>
  <c r="AG194" i="1" s="1"/>
  <c r="AF194" i="1" s="1"/>
  <c r="AC196" i="1"/>
  <c r="AG196" i="1" s="1"/>
  <c r="AF196" i="1" s="1"/>
  <c r="AC205" i="1"/>
  <c r="AG205" i="1" s="1"/>
  <c r="AF205" i="1" s="1"/>
  <c r="Q196" i="1"/>
  <c r="X196" i="1" l="1"/>
  <c r="Z196" i="1"/>
  <c r="X205" i="1"/>
  <c r="Z205" i="1"/>
  <c r="AQ200" i="1"/>
  <c r="AP200" i="1"/>
  <c r="AO200" i="1"/>
  <c r="AN200" i="1"/>
  <c r="AL200" i="1"/>
  <c r="AK200" i="1"/>
  <c r="AJ200" i="1"/>
  <c r="AI200" i="1"/>
  <c r="AA200" i="1"/>
  <c r="Z200" i="1"/>
  <c r="U200" i="1"/>
  <c r="T200" i="1" s="1"/>
  <c r="Q200" i="1"/>
  <c r="P200" i="1"/>
  <c r="E200" i="1"/>
  <c r="F200" i="1" s="1"/>
  <c r="AE200" i="1" s="1"/>
  <c r="X200" i="1" l="1"/>
  <c r="AC200" i="1"/>
  <c r="AG200" i="1" s="1"/>
  <c r="AF200" i="1" s="1"/>
  <c r="AQ154" i="1" l="1"/>
  <c r="AP154" i="1"/>
  <c r="AN154" i="1"/>
  <c r="AL154" i="1"/>
  <c r="AK154" i="1"/>
  <c r="AI154" i="1"/>
  <c r="AA154" i="1"/>
  <c r="Z154" i="1"/>
  <c r="U154" i="1"/>
  <c r="T154" i="1" s="1"/>
  <c r="P154" i="1"/>
  <c r="E154" i="1"/>
  <c r="F154" i="1" s="1"/>
  <c r="AE154" i="1" s="1"/>
  <c r="AC154" i="1" l="1"/>
  <c r="AG154" i="1" s="1"/>
  <c r="AF154" i="1" s="1"/>
  <c r="Q154" i="1"/>
  <c r="X154" i="1" s="1"/>
  <c r="AO154" i="1"/>
  <c r="AJ154" i="1"/>
  <c r="AP178" i="1"/>
  <c r="AO178" i="1"/>
  <c r="AN178" i="1"/>
  <c r="AK178" i="1"/>
  <c r="AJ178" i="1"/>
  <c r="AI178" i="1"/>
  <c r="AA178" i="1"/>
  <c r="Z178" i="1"/>
  <c r="U178" i="1"/>
  <c r="T178" i="1" s="1"/>
  <c r="P178" i="1"/>
  <c r="E178" i="1"/>
  <c r="F178" i="1" s="1"/>
  <c r="AE178" i="1" s="1"/>
  <c r="Q178" i="1" l="1"/>
  <c r="X178" i="1" s="1"/>
  <c r="AQ178" i="1"/>
  <c r="AL178" i="1"/>
  <c r="AC178" i="1"/>
  <c r="AG178" i="1" s="1"/>
  <c r="AF178" i="1" s="1"/>
  <c r="AP180" i="1"/>
  <c r="AO180" i="1"/>
  <c r="AN180" i="1"/>
  <c r="AK180" i="1"/>
  <c r="AJ180" i="1"/>
  <c r="AI180" i="1"/>
  <c r="AA180" i="1"/>
  <c r="U180" i="1"/>
  <c r="T180" i="1" s="1"/>
  <c r="P180" i="1"/>
  <c r="E180" i="1"/>
  <c r="F180" i="1" s="1"/>
  <c r="AE180" i="1" s="1"/>
  <c r="O183" i="1"/>
  <c r="AQ167" i="1"/>
  <c r="AP167" i="1"/>
  <c r="AO167" i="1"/>
  <c r="AN167" i="1"/>
  <c r="AL167" i="1"/>
  <c r="AK167" i="1"/>
  <c r="AJ167" i="1"/>
  <c r="AI167" i="1"/>
  <c r="AA167" i="1"/>
  <c r="U167" i="1"/>
  <c r="T167" i="1" s="1"/>
  <c r="P167" i="1"/>
  <c r="E167" i="1"/>
  <c r="F167" i="1" s="1"/>
  <c r="AE167" i="1" s="1"/>
  <c r="E215" i="1"/>
  <c r="F215" i="1" s="1"/>
  <c r="AP177" i="1"/>
  <c r="AO177" i="1"/>
  <c r="AN177" i="1"/>
  <c r="AK177" i="1"/>
  <c r="AJ177" i="1"/>
  <c r="AI177" i="1"/>
  <c r="AA177" i="1"/>
  <c r="Z177" i="1"/>
  <c r="U177" i="1"/>
  <c r="T177" i="1" s="1"/>
  <c r="Q177" i="1"/>
  <c r="P177" i="1"/>
  <c r="E177" i="1"/>
  <c r="F177" i="1" s="1"/>
  <c r="AE177" i="1" s="1"/>
  <c r="X177" i="1" l="1"/>
  <c r="Q180" i="1"/>
  <c r="AQ180" i="1"/>
  <c r="AL180" i="1"/>
  <c r="AC180" i="1"/>
  <c r="AG180" i="1" s="1"/>
  <c r="AF180" i="1" s="1"/>
  <c r="AC167" i="1"/>
  <c r="AG167" i="1" s="1"/>
  <c r="AF167" i="1" s="1"/>
  <c r="Q167" i="1"/>
  <c r="AQ177" i="1"/>
  <c r="AL177" i="1"/>
  <c r="AC177" i="1"/>
  <c r="AG177" i="1" s="1"/>
  <c r="AF177" i="1" s="1"/>
  <c r="X167" i="1" l="1"/>
  <c r="Z167" i="1"/>
  <c r="X180" i="1"/>
  <c r="Z180" i="1"/>
  <c r="AQ190" i="1"/>
  <c r="AP190" i="1"/>
  <c r="AO190" i="1"/>
  <c r="AL190" i="1"/>
  <c r="AK190" i="1"/>
  <c r="AJ190" i="1"/>
  <c r="AA190" i="1"/>
  <c r="U190" i="1"/>
  <c r="T190" i="1" s="1"/>
  <c r="AN190" i="1" s="1"/>
  <c r="P190" i="1"/>
  <c r="E190" i="1"/>
  <c r="F190" i="1" s="1"/>
  <c r="AE190" i="1" s="1"/>
  <c r="AI190" i="1" l="1"/>
  <c r="Q190" i="1"/>
  <c r="AC190" i="1"/>
  <c r="AG190" i="1" s="1"/>
  <c r="AF190" i="1" s="1"/>
  <c r="AP179" i="1"/>
  <c r="AO179" i="1"/>
  <c r="AN179" i="1"/>
  <c r="AK179" i="1"/>
  <c r="AJ179" i="1"/>
  <c r="AI179" i="1"/>
  <c r="AA179" i="1"/>
  <c r="U179" i="1"/>
  <c r="T179" i="1" s="1"/>
  <c r="P179" i="1"/>
  <c r="E179" i="1"/>
  <c r="F179" i="1" s="1"/>
  <c r="AE179" i="1" s="1"/>
  <c r="AC179" i="1" l="1"/>
  <c r="AG179" i="1" s="1"/>
  <c r="AF179" i="1" s="1"/>
  <c r="AL179" i="1"/>
  <c r="AQ179" i="1"/>
  <c r="X190" i="1"/>
  <c r="Z190" i="1"/>
  <c r="Q179" i="1"/>
  <c r="B34" i="1"/>
  <c r="B73" i="1"/>
  <c r="B218" i="1"/>
  <c r="B183" i="1"/>
  <c r="B108" i="1"/>
  <c r="B142" i="1"/>
  <c r="P147" i="1"/>
  <c r="AQ147" i="1"/>
  <c r="AP147" i="1"/>
  <c r="AO147" i="1"/>
  <c r="AL147" i="1"/>
  <c r="AK147" i="1"/>
  <c r="AJ147" i="1"/>
  <c r="AA147" i="1"/>
  <c r="U147" i="1"/>
  <c r="T147" i="1" s="1"/>
  <c r="E147" i="1"/>
  <c r="F147" i="1" s="1"/>
  <c r="AE147" i="1" s="1"/>
  <c r="X179" i="1" l="1"/>
  <c r="Z179" i="1"/>
  <c r="Q147" i="1"/>
  <c r="AN147" i="1"/>
  <c r="AI147" i="1"/>
  <c r="AC147" i="1"/>
  <c r="AG147" i="1" s="1"/>
  <c r="AF147" i="1" s="1"/>
  <c r="U176" i="1"/>
  <c r="AP174" i="1"/>
  <c r="AO174" i="1"/>
  <c r="AN174" i="1"/>
  <c r="AK174" i="1"/>
  <c r="AJ174" i="1"/>
  <c r="AI174" i="1"/>
  <c r="AA174" i="1"/>
  <c r="Z174" i="1"/>
  <c r="U174" i="1"/>
  <c r="T174" i="1" s="1"/>
  <c r="AQ174" i="1" s="1"/>
  <c r="P174" i="1"/>
  <c r="E174" i="1"/>
  <c r="F174" i="1" s="1"/>
  <c r="AE174" i="1" s="1"/>
  <c r="Z147" i="1" l="1"/>
  <c r="X147" i="1"/>
  <c r="AL174" i="1"/>
  <c r="Q174" i="1"/>
  <c r="X174" i="1" s="1"/>
  <c r="AC174" i="1"/>
  <c r="AG174" i="1" s="1"/>
  <c r="AF174" i="1" s="1"/>
  <c r="AP138" i="1"/>
  <c r="AO138" i="1"/>
  <c r="AN138" i="1"/>
  <c r="AK138" i="1"/>
  <c r="AJ138" i="1"/>
  <c r="AI138" i="1"/>
  <c r="AA138" i="1"/>
  <c r="U138" i="1"/>
  <c r="T138" i="1" s="1"/>
  <c r="AQ138" i="1" s="1"/>
  <c r="P138" i="1"/>
  <c r="E138" i="1"/>
  <c r="F138" i="1" s="1"/>
  <c r="AE138" i="1" s="1"/>
  <c r="AL138" i="1" l="1"/>
  <c r="Q138" i="1"/>
  <c r="AC138" i="1"/>
  <c r="AG138" i="1" s="1"/>
  <c r="AF138" i="1" s="1"/>
  <c r="AQ164" i="1"/>
  <c r="AP164" i="1"/>
  <c r="AO164" i="1"/>
  <c r="AN164" i="1"/>
  <c r="AL164" i="1"/>
  <c r="AK164" i="1"/>
  <c r="AJ164" i="1"/>
  <c r="AI164" i="1"/>
  <c r="AA164" i="1"/>
  <c r="Z164" i="1"/>
  <c r="U164" i="1"/>
  <c r="T164" i="1" s="1"/>
  <c r="Q164" i="1"/>
  <c r="P164" i="1"/>
  <c r="E164" i="1"/>
  <c r="F164" i="1" s="1"/>
  <c r="AE164" i="1" s="1"/>
  <c r="E165" i="1"/>
  <c r="F165" i="1" s="1"/>
  <c r="AE165" i="1" s="1"/>
  <c r="P165" i="1"/>
  <c r="U165" i="1"/>
  <c r="T165" i="1" s="1"/>
  <c r="AA165" i="1"/>
  <c r="AI165" i="1"/>
  <c r="AJ165" i="1"/>
  <c r="AL165" i="1"/>
  <c r="AN165" i="1"/>
  <c r="AO165" i="1"/>
  <c r="AQ165" i="1"/>
  <c r="AC164" i="1" l="1"/>
  <c r="AG164" i="1" s="1"/>
  <c r="AF164" i="1" s="1"/>
  <c r="X138" i="1"/>
  <c r="Z138" i="1"/>
  <c r="AC165" i="1"/>
  <c r="AG165" i="1" s="1"/>
  <c r="AF165" i="1" s="1"/>
  <c r="X164" i="1"/>
  <c r="Q165" i="1"/>
  <c r="X165" i="1" s="1"/>
  <c r="AP165" i="1"/>
  <c r="AK165" i="1"/>
  <c r="Z165" i="1" l="1"/>
  <c r="AQ162" i="1"/>
  <c r="AP162" i="1"/>
  <c r="AN162" i="1"/>
  <c r="AL162" i="1"/>
  <c r="AK162" i="1"/>
  <c r="AI162" i="1"/>
  <c r="AA162" i="1"/>
  <c r="Z162" i="1"/>
  <c r="U162" i="1"/>
  <c r="T162" i="1" s="1"/>
  <c r="P162" i="1"/>
  <c r="E162" i="1"/>
  <c r="F162" i="1" s="1"/>
  <c r="AE162" i="1" s="1"/>
  <c r="AC162" i="1" l="1"/>
  <c r="AG162" i="1" s="1"/>
  <c r="AF162" i="1" s="1"/>
  <c r="Q162" i="1"/>
  <c r="X162" i="1" s="1"/>
  <c r="AJ162" i="1"/>
  <c r="AO162" i="1"/>
  <c r="AQ130" i="1" l="1"/>
  <c r="AP130" i="1"/>
  <c r="AO130" i="1"/>
  <c r="AN130" i="1"/>
  <c r="AL130" i="1"/>
  <c r="AK130" i="1"/>
  <c r="AJ130" i="1"/>
  <c r="AI130" i="1"/>
  <c r="AA130" i="1"/>
  <c r="Z130" i="1"/>
  <c r="U130" i="1"/>
  <c r="T130" i="1" s="1"/>
  <c r="Q130" i="1"/>
  <c r="P130" i="1"/>
  <c r="E130" i="1"/>
  <c r="F130" i="1" s="1"/>
  <c r="AE130" i="1" s="1"/>
  <c r="X130" i="1" l="1"/>
  <c r="AC130" i="1"/>
  <c r="AG130" i="1" s="1"/>
  <c r="AF130" i="1" s="1"/>
  <c r="AP176" i="1"/>
  <c r="AO176" i="1"/>
  <c r="AN176" i="1"/>
  <c r="AK176" i="1"/>
  <c r="AJ176" i="1"/>
  <c r="AI176" i="1"/>
  <c r="AA176" i="1"/>
  <c r="Z176" i="1"/>
  <c r="T176" i="1"/>
  <c r="AQ176" i="1" s="1"/>
  <c r="E176" i="1"/>
  <c r="F176" i="1" s="1"/>
  <c r="AE176" i="1" s="1"/>
  <c r="AL176" i="1" l="1"/>
  <c r="Q176" i="1"/>
  <c r="X176" i="1" s="1"/>
  <c r="AC176" i="1"/>
  <c r="AG176" i="1" s="1"/>
  <c r="AF176" i="1" s="1"/>
  <c r="AQ160" i="1"/>
  <c r="AP160" i="1"/>
  <c r="AN160" i="1"/>
  <c r="AL160" i="1"/>
  <c r="AK160" i="1"/>
  <c r="AI160" i="1"/>
  <c r="AA160" i="1"/>
  <c r="Z160" i="1"/>
  <c r="U160" i="1"/>
  <c r="T160" i="1" s="1"/>
  <c r="P160" i="1"/>
  <c r="E160" i="1"/>
  <c r="F160" i="1" s="1"/>
  <c r="AE160" i="1" s="1"/>
  <c r="AC160" i="1" l="1"/>
  <c r="AG160" i="1" s="1"/>
  <c r="AF160" i="1" s="1"/>
  <c r="AO160" i="1"/>
  <c r="AJ160" i="1"/>
  <c r="Q160" i="1"/>
  <c r="X160" i="1" s="1"/>
  <c r="AQ158" i="1"/>
  <c r="AP158" i="1"/>
  <c r="AN158" i="1"/>
  <c r="AL158" i="1"/>
  <c r="AK158" i="1"/>
  <c r="AI158" i="1"/>
  <c r="AA158" i="1"/>
  <c r="Z158" i="1"/>
  <c r="U158" i="1"/>
  <c r="T158" i="1" s="1"/>
  <c r="P158" i="1"/>
  <c r="E158" i="1"/>
  <c r="F158" i="1" s="1"/>
  <c r="AE158" i="1" s="1"/>
  <c r="Q158" i="1" l="1"/>
  <c r="X158" i="1" s="1"/>
  <c r="AJ158" i="1"/>
  <c r="AO158" i="1"/>
  <c r="AC158" i="1"/>
  <c r="AG158" i="1" s="1"/>
  <c r="AF158" i="1" s="1"/>
  <c r="AQ159" i="1"/>
  <c r="AP159" i="1"/>
  <c r="AO159" i="1"/>
  <c r="AN159" i="1"/>
  <c r="AL159" i="1"/>
  <c r="AK159" i="1"/>
  <c r="AJ159" i="1"/>
  <c r="AI159" i="1"/>
  <c r="AA159" i="1"/>
  <c r="U159" i="1"/>
  <c r="T159" i="1" s="1"/>
  <c r="P159" i="1"/>
  <c r="E159" i="1"/>
  <c r="F159" i="1" s="1"/>
  <c r="AE159" i="1" s="1"/>
  <c r="AQ146" i="1"/>
  <c r="AP146" i="1"/>
  <c r="AO146" i="1"/>
  <c r="AL146" i="1"/>
  <c r="AK146" i="1"/>
  <c r="AJ146" i="1"/>
  <c r="AA146" i="1"/>
  <c r="U146" i="1"/>
  <c r="T146" i="1" s="1"/>
  <c r="P146" i="1"/>
  <c r="E146" i="1"/>
  <c r="F146" i="1" s="1"/>
  <c r="AE146" i="1" s="1"/>
  <c r="AQ155" i="1"/>
  <c r="AP155" i="1"/>
  <c r="AN155" i="1"/>
  <c r="AL155" i="1"/>
  <c r="AK155" i="1"/>
  <c r="AI155" i="1"/>
  <c r="AA155" i="1"/>
  <c r="Z155" i="1"/>
  <c r="U155" i="1"/>
  <c r="T155" i="1" s="1"/>
  <c r="P155" i="1"/>
  <c r="E155" i="1"/>
  <c r="F155" i="1" s="1"/>
  <c r="AE155" i="1" s="1"/>
  <c r="E153" i="1"/>
  <c r="F153" i="1" s="1"/>
  <c r="AE153" i="1" s="1"/>
  <c r="P153" i="1"/>
  <c r="Q153" i="1"/>
  <c r="U153" i="1"/>
  <c r="T153" i="1" s="1"/>
  <c r="Z153" i="1"/>
  <c r="AA153" i="1"/>
  <c r="AI153" i="1"/>
  <c r="AK153" i="1"/>
  <c r="AL153" i="1"/>
  <c r="AN153" i="1"/>
  <c r="AP153" i="1"/>
  <c r="AQ153" i="1"/>
  <c r="AQ156" i="1"/>
  <c r="AP156" i="1"/>
  <c r="AN156" i="1"/>
  <c r="AL156" i="1"/>
  <c r="AK156" i="1"/>
  <c r="AI156" i="1"/>
  <c r="AA156" i="1"/>
  <c r="U156" i="1"/>
  <c r="T156" i="1" s="1"/>
  <c r="P156" i="1"/>
  <c r="E156" i="1"/>
  <c r="F156" i="1" s="1"/>
  <c r="AE156" i="1" s="1"/>
  <c r="AQ163" i="1"/>
  <c r="AN163" i="1"/>
  <c r="AL163" i="1"/>
  <c r="AI163" i="1"/>
  <c r="AA163" i="1"/>
  <c r="U163" i="1"/>
  <c r="T163" i="1" s="1"/>
  <c r="AO163" i="1" s="1"/>
  <c r="P163" i="1"/>
  <c r="E163" i="1"/>
  <c r="F163" i="1" l="1"/>
  <c r="AE163" i="1" s="1"/>
  <c r="Q163" i="1"/>
  <c r="Q146" i="1"/>
  <c r="AJ163" i="1"/>
  <c r="Q159" i="1"/>
  <c r="AC155" i="1"/>
  <c r="AG155" i="1" s="1"/>
  <c r="AF155" i="1" s="1"/>
  <c r="AC159" i="1"/>
  <c r="AG159" i="1" s="1"/>
  <c r="AF159" i="1" s="1"/>
  <c r="Q156" i="1"/>
  <c r="AI146" i="1"/>
  <c r="AN146" i="1"/>
  <c r="AJ155" i="1"/>
  <c r="AO155" i="1"/>
  <c r="AC146" i="1"/>
  <c r="AG146" i="1" s="1"/>
  <c r="AF146" i="1" s="1"/>
  <c r="Q155" i="1"/>
  <c r="X155" i="1" s="1"/>
  <c r="AJ153" i="1"/>
  <c r="AO153" i="1"/>
  <c r="AO156" i="1"/>
  <c r="AJ156" i="1"/>
  <c r="X153" i="1"/>
  <c r="AC153" i="1"/>
  <c r="AG153" i="1" s="1"/>
  <c r="AF153" i="1" s="1"/>
  <c r="AC156" i="1"/>
  <c r="AG156" i="1" s="1"/>
  <c r="AF156" i="1" s="1"/>
  <c r="AP163" i="1"/>
  <c r="AK163" i="1"/>
  <c r="AC163" i="1"/>
  <c r="AQ151" i="1"/>
  <c r="AP151" i="1"/>
  <c r="AO151" i="1"/>
  <c r="AL151" i="1"/>
  <c r="AK151" i="1"/>
  <c r="AJ151" i="1"/>
  <c r="AA151" i="1"/>
  <c r="U151" i="1"/>
  <c r="T151" i="1" s="1"/>
  <c r="P151" i="1"/>
  <c r="E151" i="1"/>
  <c r="F151" i="1" s="1"/>
  <c r="AE151" i="1" s="1"/>
  <c r="AP136" i="1"/>
  <c r="AO136" i="1"/>
  <c r="AN136" i="1"/>
  <c r="AK136" i="1"/>
  <c r="AJ136" i="1"/>
  <c r="AI136" i="1"/>
  <c r="AA136" i="1"/>
  <c r="U136" i="1"/>
  <c r="T136" i="1" s="1"/>
  <c r="AQ136" i="1" s="1"/>
  <c r="P136" i="1"/>
  <c r="E136" i="1"/>
  <c r="F136" i="1" s="1"/>
  <c r="AE136" i="1" s="1"/>
  <c r="AP139" i="1"/>
  <c r="AO139" i="1"/>
  <c r="AN139" i="1"/>
  <c r="AK139" i="1"/>
  <c r="AJ139" i="1"/>
  <c r="AI139" i="1"/>
  <c r="AA139" i="1"/>
  <c r="U139" i="1"/>
  <c r="T139" i="1" s="1"/>
  <c r="P139" i="1"/>
  <c r="E139" i="1"/>
  <c r="F139" i="1" s="1"/>
  <c r="AE139" i="1" s="1"/>
  <c r="E169" i="1"/>
  <c r="F169" i="1" s="1"/>
  <c r="AE169" i="1" s="1"/>
  <c r="AQ169" i="1"/>
  <c r="AO169" i="1"/>
  <c r="AN169" i="1"/>
  <c r="AL169" i="1"/>
  <c r="AJ169" i="1"/>
  <c r="AI169" i="1"/>
  <c r="AA169" i="1"/>
  <c r="U169" i="1"/>
  <c r="T169" i="1" s="1"/>
  <c r="AK169" i="1" s="1"/>
  <c r="AP131" i="1"/>
  <c r="AO131" i="1"/>
  <c r="AN131" i="1"/>
  <c r="AK131" i="1"/>
  <c r="AJ131" i="1"/>
  <c r="AI131" i="1"/>
  <c r="AA131" i="1"/>
  <c r="U131" i="1"/>
  <c r="T131" i="1" s="1"/>
  <c r="P131" i="1"/>
  <c r="E131" i="1"/>
  <c r="F131" i="1" s="1"/>
  <c r="AE131" i="1" s="1"/>
  <c r="AG163" i="1" l="1"/>
  <c r="AF163" i="1" s="1"/>
  <c r="X159" i="1"/>
  <c r="Z159" i="1"/>
  <c r="X163" i="1"/>
  <c r="Z163" i="1"/>
  <c r="X156" i="1"/>
  <c r="Z156" i="1"/>
  <c r="X146" i="1"/>
  <c r="Z146" i="1"/>
  <c r="Q151" i="1"/>
  <c r="AC139" i="1"/>
  <c r="AG139" i="1" s="1"/>
  <c r="AF139" i="1" s="1"/>
  <c r="AC136" i="1"/>
  <c r="AG136" i="1" s="1"/>
  <c r="AF136" i="1" s="1"/>
  <c r="AL136" i="1"/>
  <c r="AI151" i="1"/>
  <c r="AC151" i="1"/>
  <c r="AG151" i="1" s="1"/>
  <c r="AF151" i="1" s="1"/>
  <c r="AN151" i="1"/>
  <c r="Q136" i="1"/>
  <c r="AL139" i="1"/>
  <c r="AQ139" i="1"/>
  <c r="Q139" i="1"/>
  <c r="AC131" i="1"/>
  <c r="AG131" i="1" s="1"/>
  <c r="AF131" i="1" s="1"/>
  <c r="AP169" i="1"/>
  <c r="Q169" i="1"/>
  <c r="AC169" i="1"/>
  <c r="AG169" i="1" s="1"/>
  <c r="AF169" i="1" s="1"/>
  <c r="AL131" i="1"/>
  <c r="Q131" i="1"/>
  <c r="AQ131" i="1"/>
  <c r="AQ191" i="1"/>
  <c r="AP191" i="1"/>
  <c r="AO191" i="1"/>
  <c r="AL191" i="1"/>
  <c r="AK191" i="1"/>
  <c r="AJ191" i="1"/>
  <c r="AA191" i="1"/>
  <c r="U191" i="1"/>
  <c r="T191" i="1" s="1"/>
  <c r="AI191" i="1" s="1"/>
  <c r="P191" i="1"/>
  <c r="E191" i="1"/>
  <c r="F191" i="1" s="1"/>
  <c r="AE191" i="1" s="1"/>
  <c r="Q217" i="1"/>
  <c r="Q216" i="1"/>
  <c r="Q214" i="1"/>
  <c r="Q212" i="1"/>
  <c r="Q211" i="1"/>
  <c r="Q210" i="1"/>
  <c r="Q209" i="1"/>
  <c r="Q208" i="1"/>
  <c r="Q207" i="1"/>
  <c r="Q206" i="1"/>
  <c r="Q204" i="1"/>
  <c r="Q202" i="1"/>
  <c r="Q197" i="1"/>
  <c r="P217" i="1"/>
  <c r="P216" i="1"/>
  <c r="P215" i="1"/>
  <c r="P214" i="1"/>
  <c r="P213" i="1"/>
  <c r="P212" i="1"/>
  <c r="P211" i="1"/>
  <c r="P210" i="1"/>
  <c r="P209" i="1"/>
  <c r="P207" i="1"/>
  <c r="P206" i="1"/>
  <c r="P204" i="1"/>
  <c r="P202" i="1"/>
  <c r="P197" i="1"/>
  <c r="P193" i="1"/>
  <c r="P185" i="1"/>
  <c r="O218" i="1"/>
  <c r="AQ217" i="1"/>
  <c r="AP217" i="1"/>
  <c r="AO217" i="1"/>
  <c r="AN217" i="1"/>
  <c r="AL217" i="1"/>
  <c r="AK217" i="1"/>
  <c r="AJ217" i="1"/>
  <c r="AI217" i="1"/>
  <c r="AE217" i="1"/>
  <c r="AA217" i="1"/>
  <c r="Z217" i="1"/>
  <c r="U217" i="1"/>
  <c r="T217" i="1" s="1"/>
  <c r="E217" i="1"/>
  <c r="F217" i="1" s="1"/>
  <c r="AP216" i="1"/>
  <c r="AO216" i="1"/>
  <c r="AN216" i="1"/>
  <c r="AK216" i="1"/>
  <c r="AJ216" i="1"/>
  <c r="AI216" i="1"/>
  <c r="AE216" i="1"/>
  <c r="AA216" i="1"/>
  <c r="Z216" i="1"/>
  <c r="U216" i="1"/>
  <c r="T216" i="1" s="1"/>
  <c r="E216" i="1"/>
  <c r="F216" i="1" s="1"/>
  <c r="AQ215" i="1"/>
  <c r="AO215" i="1"/>
  <c r="AN215" i="1"/>
  <c r="AL215" i="1"/>
  <c r="AJ215" i="1"/>
  <c r="AI215" i="1"/>
  <c r="AA215" i="1"/>
  <c r="Z215" i="1"/>
  <c r="U215" i="1"/>
  <c r="T215" i="1" s="1"/>
  <c r="AK215" i="1" s="1"/>
  <c r="AE215" i="1"/>
  <c r="AP214" i="1"/>
  <c r="AO214" i="1"/>
  <c r="AN214" i="1"/>
  <c r="AK214" i="1"/>
  <c r="AJ214" i="1"/>
  <c r="AI214" i="1"/>
  <c r="AA214" i="1"/>
  <c r="Z214" i="1"/>
  <c r="U214" i="1"/>
  <c r="T214" i="1" s="1"/>
  <c r="AQ214" i="1" s="1"/>
  <c r="E214" i="1"/>
  <c r="F214" i="1" s="1"/>
  <c r="AE214" i="1" s="1"/>
  <c r="AP213" i="1"/>
  <c r="AO213" i="1"/>
  <c r="AN213" i="1"/>
  <c r="AJ213" i="1"/>
  <c r="AI213" i="1"/>
  <c r="AA213" i="1"/>
  <c r="U213" i="1"/>
  <c r="T213" i="1" s="1"/>
  <c r="AK213" i="1" s="1"/>
  <c r="E213" i="1"/>
  <c r="F213" i="1" s="1"/>
  <c r="AE213" i="1" s="1"/>
  <c r="AQ212" i="1"/>
  <c r="AO212" i="1"/>
  <c r="AN212" i="1"/>
  <c r="AL212" i="1"/>
  <c r="AJ212" i="1"/>
  <c r="AI212" i="1"/>
  <c r="AA212" i="1"/>
  <c r="Z212" i="1"/>
  <c r="U212" i="1"/>
  <c r="T212" i="1" s="1"/>
  <c r="E212" i="1"/>
  <c r="F212" i="1" s="1"/>
  <c r="AE212" i="1" s="1"/>
  <c r="AQ211" i="1"/>
  <c r="AO211" i="1"/>
  <c r="AN211" i="1"/>
  <c r="AL211" i="1"/>
  <c r="AJ211" i="1"/>
  <c r="AI211" i="1"/>
  <c r="AA211" i="1"/>
  <c r="U211" i="1"/>
  <c r="T211" i="1" s="1"/>
  <c r="E211" i="1"/>
  <c r="F211" i="1" s="1"/>
  <c r="AE211" i="1" s="1"/>
  <c r="AQ210" i="1"/>
  <c r="AO210" i="1"/>
  <c r="AN210" i="1"/>
  <c r="AL210" i="1"/>
  <c r="AJ210" i="1"/>
  <c r="AI210" i="1"/>
  <c r="AA210" i="1"/>
  <c r="U210" i="1"/>
  <c r="T210" i="1" s="1"/>
  <c r="E210" i="1"/>
  <c r="F210" i="1" s="1"/>
  <c r="AE210" i="1" s="1"/>
  <c r="AQ209" i="1"/>
  <c r="AO209" i="1"/>
  <c r="AN209" i="1"/>
  <c r="AL209" i="1"/>
  <c r="AJ209" i="1"/>
  <c r="AI209" i="1"/>
  <c r="AA209" i="1"/>
  <c r="Z209" i="1"/>
  <c r="U209" i="1"/>
  <c r="T209" i="1" s="1"/>
  <c r="E209" i="1"/>
  <c r="F209" i="1" s="1"/>
  <c r="AE209" i="1" s="1"/>
  <c r="AQ208" i="1"/>
  <c r="AP208" i="1"/>
  <c r="AO208" i="1"/>
  <c r="AN208" i="1"/>
  <c r="AL208" i="1"/>
  <c r="AK208" i="1"/>
  <c r="AI208" i="1"/>
  <c r="AE208" i="1"/>
  <c r="AA208" i="1"/>
  <c r="Z208" i="1"/>
  <c r="U208" i="1"/>
  <c r="T208" i="1" s="1"/>
  <c r="AJ208" i="1" s="1"/>
  <c r="P208" i="1"/>
  <c r="E208" i="1"/>
  <c r="F208" i="1" s="1"/>
  <c r="AQ207" i="1"/>
  <c r="AP207" i="1"/>
  <c r="AN207" i="1"/>
  <c r="AL207" i="1"/>
  <c r="AK207" i="1"/>
  <c r="AI207" i="1"/>
  <c r="AA207" i="1"/>
  <c r="Z207" i="1"/>
  <c r="U207" i="1"/>
  <c r="T207" i="1" s="1"/>
  <c r="E207" i="1"/>
  <c r="F207" i="1" s="1"/>
  <c r="AE207" i="1" s="1"/>
  <c r="AQ206" i="1"/>
  <c r="AP206" i="1"/>
  <c r="AN206" i="1"/>
  <c r="AL206" i="1"/>
  <c r="AK206" i="1"/>
  <c r="AI206" i="1"/>
  <c r="AA206" i="1"/>
  <c r="Z206" i="1"/>
  <c r="U206" i="1"/>
  <c r="T206" i="1" s="1"/>
  <c r="AJ206" i="1" s="1"/>
  <c r="E206" i="1"/>
  <c r="F206" i="1" s="1"/>
  <c r="AE206" i="1" s="1"/>
  <c r="AQ204" i="1"/>
  <c r="AP204" i="1"/>
  <c r="AN204" i="1"/>
  <c r="AL204" i="1"/>
  <c r="AK204" i="1"/>
  <c r="AI204" i="1"/>
  <c r="AA204" i="1"/>
  <c r="U204" i="1"/>
  <c r="T204" i="1" s="1"/>
  <c r="E204" i="1"/>
  <c r="F204" i="1" s="1"/>
  <c r="AE204" i="1" s="1"/>
  <c r="AQ202" i="1"/>
  <c r="AP202" i="1"/>
  <c r="AO202" i="1"/>
  <c r="AL202" i="1"/>
  <c r="AK202" i="1"/>
  <c r="AJ202" i="1"/>
  <c r="AA202" i="1"/>
  <c r="Z202" i="1"/>
  <c r="U202" i="1"/>
  <c r="T202" i="1" s="1"/>
  <c r="E202" i="1"/>
  <c r="F202" i="1" s="1"/>
  <c r="AE202" i="1" s="1"/>
  <c r="AQ197" i="1"/>
  <c r="AP197" i="1"/>
  <c r="AO197" i="1"/>
  <c r="AN197" i="1"/>
  <c r="AL197" i="1"/>
  <c r="AK197" i="1"/>
  <c r="AJ197" i="1"/>
  <c r="AI197" i="1"/>
  <c r="AA197" i="1"/>
  <c r="U197" i="1"/>
  <c r="T197" i="1" s="1"/>
  <c r="E197" i="1"/>
  <c r="F197" i="1" s="1"/>
  <c r="AE197" i="1" s="1"/>
  <c r="AQ193" i="1"/>
  <c r="AP193" i="1"/>
  <c r="AO193" i="1"/>
  <c r="AN193" i="1"/>
  <c r="AL193" i="1"/>
  <c r="AK193" i="1"/>
  <c r="AJ193" i="1"/>
  <c r="AI193" i="1"/>
  <c r="AA193" i="1"/>
  <c r="AC193" i="1" s="1"/>
  <c r="Z193" i="1"/>
  <c r="U193" i="1"/>
  <c r="Q193" i="1"/>
  <c r="E193" i="1"/>
  <c r="F193" i="1" s="1"/>
  <c r="AE193" i="1" s="1"/>
  <c r="AQ185" i="1"/>
  <c r="AP185" i="1"/>
  <c r="AO185" i="1"/>
  <c r="AL185" i="1"/>
  <c r="AK185" i="1"/>
  <c r="AJ185" i="1"/>
  <c r="AA185" i="1"/>
  <c r="Z185" i="1"/>
  <c r="U185" i="1"/>
  <c r="T185" i="1" s="1"/>
  <c r="Q185" i="1"/>
  <c r="E185" i="1"/>
  <c r="AQ242" i="1"/>
  <c r="AP242" i="1"/>
  <c r="AO242" i="1"/>
  <c r="AN242" i="1"/>
  <c r="AL242" i="1"/>
  <c r="AK242" i="1"/>
  <c r="AJ242" i="1"/>
  <c r="AI242" i="1"/>
  <c r="AE242" i="1"/>
  <c r="AA242" i="1"/>
  <c r="Z242" i="1"/>
  <c r="U242" i="1"/>
  <c r="T242" i="1" s="1"/>
  <c r="Q242" i="1"/>
  <c r="P242" i="1"/>
  <c r="E242" i="1"/>
  <c r="F242" i="1" s="1"/>
  <c r="AP133" i="1"/>
  <c r="AO133" i="1"/>
  <c r="AN133" i="1"/>
  <c r="AK133" i="1"/>
  <c r="AJ133" i="1"/>
  <c r="AI133" i="1"/>
  <c r="AA133" i="1"/>
  <c r="U133" i="1"/>
  <c r="T133" i="1" s="1"/>
  <c r="P133" i="1"/>
  <c r="E133" i="1"/>
  <c r="F133" i="1" s="1"/>
  <c r="AE133" i="1" s="1"/>
  <c r="AL213" i="1" l="1"/>
  <c r="AQ213" i="1"/>
  <c r="Q213" i="1"/>
  <c r="Z213" i="1" s="1"/>
  <c r="Q215" i="1"/>
  <c r="X215" i="1" s="1"/>
  <c r="X139" i="1"/>
  <c r="Z139" i="1"/>
  <c r="X169" i="1"/>
  <c r="Z169" i="1"/>
  <c r="X151" i="1"/>
  <c r="Z151" i="1"/>
  <c r="X136" i="1"/>
  <c r="Z136" i="1"/>
  <c r="X131" i="1"/>
  <c r="Z131" i="1"/>
  <c r="X210" i="1"/>
  <c r="X214" i="1"/>
  <c r="X216" i="1"/>
  <c r="Q133" i="1"/>
  <c r="Z133" i="1" s="1"/>
  <c r="X193" i="1"/>
  <c r="X206" i="1"/>
  <c r="X208" i="1"/>
  <c r="AG193" i="1"/>
  <c r="AF193" i="1" s="1"/>
  <c r="AC213" i="1"/>
  <c r="AG213" i="1" s="1"/>
  <c r="AF213" i="1" s="1"/>
  <c r="X209" i="1"/>
  <c r="X211" i="1"/>
  <c r="X217" i="1"/>
  <c r="X197" i="1"/>
  <c r="X204" i="1"/>
  <c r="X207" i="1"/>
  <c r="X202" i="1"/>
  <c r="X212" i="1"/>
  <c r="AC217" i="1"/>
  <c r="AG217" i="1" s="1"/>
  <c r="AF217" i="1" s="1"/>
  <c r="AN191" i="1"/>
  <c r="AC242" i="1"/>
  <c r="AG242" i="1" s="1"/>
  <c r="AF242" i="1" s="1"/>
  <c r="Q191" i="1"/>
  <c r="AC191" i="1"/>
  <c r="AG191" i="1" s="1"/>
  <c r="AF191" i="1" s="1"/>
  <c r="X185" i="1"/>
  <c r="AA218" i="1"/>
  <c r="AB218" i="1" s="1"/>
  <c r="AC207" i="1"/>
  <c r="AG207" i="1" s="1"/>
  <c r="AF207" i="1" s="1"/>
  <c r="D218" i="1"/>
  <c r="AQ216" i="1"/>
  <c r="AL216" i="1"/>
  <c r="AC216" i="1"/>
  <c r="AG216" i="1" s="1"/>
  <c r="AF216" i="1" s="1"/>
  <c r="AC210" i="1"/>
  <c r="AG210" i="1" s="1"/>
  <c r="AF210" i="1" s="1"/>
  <c r="AP210" i="1"/>
  <c r="AK210" i="1"/>
  <c r="AN185" i="1"/>
  <c r="AC185" i="1"/>
  <c r="AI185" i="1"/>
  <c r="AC204" i="1"/>
  <c r="AG204" i="1" s="1"/>
  <c r="AF204" i="1" s="1"/>
  <c r="AO204" i="1"/>
  <c r="AJ204" i="1"/>
  <c r="AK209" i="1"/>
  <c r="AC209" i="1"/>
  <c r="AG209" i="1" s="1"/>
  <c r="AF209" i="1" s="1"/>
  <c r="AP209" i="1"/>
  <c r="AK212" i="1"/>
  <c r="AC212" i="1"/>
  <c r="AG212" i="1" s="1"/>
  <c r="AF212" i="1" s="1"/>
  <c r="AP212" i="1"/>
  <c r="AC197" i="1"/>
  <c r="AG197" i="1" s="1"/>
  <c r="AF197" i="1" s="1"/>
  <c r="AP211" i="1"/>
  <c r="AK211" i="1"/>
  <c r="AC211" i="1"/>
  <c r="AG211" i="1" s="1"/>
  <c r="AF211" i="1" s="1"/>
  <c r="AN202" i="1"/>
  <c r="AC202" i="1"/>
  <c r="AG202" i="1" s="1"/>
  <c r="AF202" i="1" s="1"/>
  <c r="AI202" i="1"/>
  <c r="AJ207" i="1"/>
  <c r="AC208" i="1"/>
  <c r="AG208" i="1" s="1"/>
  <c r="AF208" i="1" s="1"/>
  <c r="AO206" i="1"/>
  <c r="AC206" i="1"/>
  <c r="AG206" i="1" s="1"/>
  <c r="AF206" i="1" s="1"/>
  <c r="AC214" i="1"/>
  <c r="AG214" i="1" s="1"/>
  <c r="AF214" i="1" s="1"/>
  <c r="AL214" i="1"/>
  <c r="AP215" i="1"/>
  <c r="AO207" i="1"/>
  <c r="AC215" i="1"/>
  <c r="AG215" i="1" s="1"/>
  <c r="AF215" i="1" s="1"/>
  <c r="F185" i="1"/>
  <c r="AE185" i="1" s="1"/>
  <c r="AE218" i="1" s="1"/>
  <c r="H218" i="1"/>
  <c r="AL133" i="1"/>
  <c r="AQ133" i="1"/>
  <c r="X242" i="1"/>
  <c r="AC133" i="1"/>
  <c r="AG133" i="1" s="1"/>
  <c r="AF133" i="1" s="1"/>
  <c r="AQ127" i="1"/>
  <c r="AO127" i="1"/>
  <c r="AN127" i="1"/>
  <c r="AL127" i="1"/>
  <c r="AJ127" i="1"/>
  <c r="AI127" i="1"/>
  <c r="AA127" i="1"/>
  <c r="U127" i="1"/>
  <c r="T127" i="1" s="1"/>
  <c r="P127" i="1"/>
  <c r="E127" i="1"/>
  <c r="F127" i="1" s="1"/>
  <c r="AE127" i="1" s="1"/>
  <c r="J218" i="1" l="1"/>
  <c r="X213" i="1"/>
  <c r="AQ218" i="1"/>
  <c r="AQ219" i="1" s="1"/>
  <c r="AJ218" i="1"/>
  <c r="AJ219" i="1" s="1"/>
  <c r="X133" i="1"/>
  <c r="AC127" i="1"/>
  <c r="AG127" i="1" s="1"/>
  <c r="AF127" i="1" s="1"/>
  <c r="AL218" i="1"/>
  <c r="AL219" i="1" s="1"/>
  <c r="X191" i="1"/>
  <c r="Z191" i="1"/>
  <c r="Q127" i="1"/>
  <c r="X127" i="1" s="1"/>
  <c r="AP218" i="1"/>
  <c r="AP219" i="1" s="1"/>
  <c r="AO218" i="1"/>
  <c r="AO219" i="1" s="1"/>
  <c r="AK218" i="1"/>
  <c r="AK219" i="1" s="1"/>
  <c r="Z210" i="1"/>
  <c r="AN218" i="1"/>
  <c r="AN219" i="1" s="1"/>
  <c r="AI218" i="1"/>
  <c r="AI219" i="1" s="1"/>
  <c r="Z211" i="1"/>
  <c r="Z197" i="1"/>
  <c r="Z204" i="1"/>
  <c r="AG185" i="1"/>
  <c r="AK127" i="1"/>
  <c r="AP127" i="1"/>
  <c r="AQ149" i="1"/>
  <c r="AP149" i="1"/>
  <c r="AO149" i="1"/>
  <c r="AL149" i="1"/>
  <c r="AK149" i="1"/>
  <c r="AJ149" i="1"/>
  <c r="AA149" i="1"/>
  <c r="U149" i="1"/>
  <c r="T149" i="1" s="1"/>
  <c r="AN149" i="1" s="1"/>
  <c r="P149" i="1"/>
  <c r="E149" i="1"/>
  <c r="F149" i="1" s="1"/>
  <c r="AE149" i="1" s="1"/>
  <c r="AP134" i="1"/>
  <c r="AO134" i="1"/>
  <c r="AN134" i="1"/>
  <c r="AK134" i="1"/>
  <c r="AJ134" i="1"/>
  <c r="AI134" i="1"/>
  <c r="AA134" i="1"/>
  <c r="U134" i="1"/>
  <c r="T134" i="1" s="1"/>
  <c r="AQ134" i="1" s="1"/>
  <c r="P134" i="1"/>
  <c r="E134" i="1"/>
  <c r="F134" i="1" s="1"/>
  <c r="AE134" i="1" s="1"/>
  <c r="AI149" i="1" l="1"/>
  <c r="AR219" i="1"/>
  <c r="AM219" i="1"/>
  <c r="Z127" i="1"/>
  <c r="AR218" i="1"/>
  <c r="AM218" i="1"/>
  <c r="AF185" i="1"/>
  <c r="AF218" i="1" s="1"/>
  <c r="M218" i="1" s="1"/>
  <c r="AG218" i="1"/>
  <c r="AH218" i="1" s="1"/>
  <c r="Z218" i="1"/>
  <c r="AL134" i="1"/>
  <c r="Q149" i="1"/>
  <c r="AC149" i="1"/>
  <c r="AG149" i="1" s="1"/>
  <c r="AF149" i="1" s="1"/>
  <c r="Q134" i="1"/>
  <c r="AC134" i="1"/>
  <c r="AG134" i="1" s="1"/>
  <c r="AF134" i="1" s="1"/>
  <c r="AO135" i="1"/>
  <c r="AN135" i="1"/>
  <c r="AJ135" i="1"/>
  <c r="AI135" i="1"/>
  <c r="AA135" i="1"/>
  <c r="U135" i="1"/>
  <c r="T135" i="1" s="1"/>
  <c r="AQ135" i="1" s="1"/>
  <c r="P135" i="1"/>
  <c r="E135" i="1"/>
  <c r="F135" i="1" s="1"/>
  <c r="AE135" i="1" s="1"/>
  <c r="AP140" i="1"/>
  <c r="AO140" i="1"/>
  <c r="AN140" i="1"/>
  <c r="AK140" i="1"/>
  <c r="AJ140" i="1"/>
  <c r="AI140" i="1"/>
  <c r="AA140" i="1"/>
  <c r="U140" i="1"/>
  <c r="T140" i="1" s="1"/>
  <c r="AQ140" i="1" s="1"/>
  <c r="P140" i="1"/>
  <c r="E140" i="1"/>
  <c r="F140" i="1" s="1"/>
  <c r="AE140" i="1" s="1"/>
  <c r="E141" i="1"/>
  <c r="F141" i="1" s="1"/>
  <c r="AE141" i="1" s="1"/>
  <c r="P141" i="1"/>
  <c r="Q141" i="1"/>
  <c r="U141" i="1"/>
  <c r="T141" i="1" s="1"/>
  <c r="Z141" i="1"/>
  <c r="AA141" i="1"/>
  <c r="AI141" i="1"/>
  <c r="AJ141" i="1"/>
  <c r="AK141" i="1"/>
  <c r="AL141" i="1"/>
  <c r="AN141" i="1"/>
  <c r="AO141" i="1"/>
  <c r="AP141" i="1"/>
  <c r="AQ141" i="1"/>
  <c r="AL140" i="1" l="1"/>
  <c r="Q140" i="1"/>
  <c r="Z140" i="1" s="1"/>
  <c r="X134" i="1"/>
  <c r="Z134" i="1"/>
  <c r="Q218" i="1"/>
  <c r="Y218" i="1"/>
  <c r="X149" i="1"/>
  <c r="Z149" i="1"/>
  <c r="AC141" i="1"/>
  <c r="AG141" i="1" s="1"/>
  <c r="AF141" i="1" s="1"/>
  <c r="AL135" i="1"/>
  <c r="AP135" i="1"/>
  <c r="AK135" i="1"/>
  <c r="Q135" i="1"/>
  <c r="AC135" i="1"/>
  <c r="AG135" i="1" s="1"/>
  <c r="AF135" i="1" s="1"/>
  <c r="X141" i="1"/>
  <c r="AC140" i="1"/>
  <c r="AG140" i="1" s="1"/>
  <c r="AF140" i="1" s="1"/>
  <c r="AO175" i="1"/>
  <c r="AN175" i="1"/>
  <c r="AJ175" i="1"/>
  <c r="AI175" i="1"/>
  <c r="AA175" i="1"/>
  <c r="Z175" i="1"/>
  <c r="U175" i="1"/>
  <c r="T175" i="1" s="1"/>
  <c r="AL175" i="1" s="1"/>
  <c r="P175" i="1"/>
  <c r="E175" i="1"/>
  <c r="F175" i="1" s="1"/>
  <c r="AE175" i="1" s="1"/>
  <c r="AO168" i="1"/>
  <c r="AN168" i="1"/>
  <c r="AJ168" i="1"/>
  <c r="AI168" i="1"/>
  <c r="AA168" i="1"/>
  <c r="Z168" i="1"/>
  <c r="U168" i="1"/>
  <c r="T168" i="1" s="1"/>
  <c r="AK168" i="1" s="1"/>
  <c r="Q168" i="1"/>
  <c r="P168" i="1"/>
  <c r="E168" i="1"/>
  <c r="F168" i="1" s="1"/>
  <c r="AE168" i="1" s="1"/>
  <c r="AO166" i="1"/>
  <c r="AN166" i="1"/>
  <c r="AJ166" i="1"/>
  <c r="AI166" i="1"/>
  <c r="AA166" i="1"/>
  <c r="U166" i="1"/>
  <c r="T166" i="1" s="1"/>
  <c r="AP166" i="1" s="1"/>
  <c r="P166" i="1"/>
  <c r="E166" i="1"/>
  <c r="F166" i="1" s="1"/>
  <c r="AE166" i="1" s="1"/>
  <c r="AO171" i="1"/>
  <c r="AN171" i="1"/>
  <c r="AJ171" i="1"/>
  <c r="AI171" i="1"/>
  <c r="AA171" i="1"/>
  <c r="Z171" i="1"/>
  <c r="U171" i="1"/>
  <c r="T171" i="1" s="1"/>
  <c r="AP171" i="1" s="1"/>
  <c r="Q171" i="1"/>
  <c r="P171" i="1"/>
  <c r="E171" i="1"/>
  <c r="F171" i="1" s="1"/>
  <c r="AE171" i="1" s="1"/>
  <c r="AP173" i="1"/>
  <c r="AO173" i="1"/>
  <c r="AN173" i="1"/>
  <c r="AK173" i="1"/>
  <c r="AJ173" i="1"/>
  <c r="AI173" i="1"/>
  <c r="AA173" i="1"/>
  <c r="Z173" i="1"/>
  <c r="U173" i="1"/>
  <c r="T173" i="1" s="1"/>
  <c r="Q173" i="1"/>
  <c r="P173" i="1"/>
  <c r="E173" i="1"/>
  <c r="F173" i="1" s="1"/>
  <c r="AE173" i="1" s="1"/>
  <c r="E182" i="1"/>
  <c r="F182" i="1" s="1"/>
  <c r="AE182" i="1" s="1"/>
  <c r="P182" i="1"/>
  <c r="Q182" i="1" s="1"/>
  <c r="U182" i="1"/>
  <c r="T182" i="1" s="1"/>
  <c r="AK182" i="1" s="1"/>
  <c r="AA182" i="1"/>
  <c r="AI182" i="1"/>
  <c r="AJ182" i="1"/>
  <c r="AL182" i="1"/>
  <c r="AN182" i="1"/>
  <c r="AO182" i="1"/>
  <c r="AQ182" i="1"/>
  <c r="AP181" i="1"/>
  <c r="AO181" i="1"/>
  <c r="AN181" i="1"/>
  <c r="AK181" i="1"/>
  <c r="AJ181" i="1"/>
  <c r="AI181" i="1"/>
  <c r="AA181" i="1"/>
  <c r="Z181" i="1"/>
  <c r="U181" i="1"/>
  <c r="T181" i="1" s="1"/>
  <c r="AQ181" i="1" s="1"/>
  <c r="Q181" i="1"/>
  <c r="P181" i="1"/>
  <c r="E181" i="1"/>
  <c r="F181" i="1" s="1"/>
  <c r="AE181" i="1" s="1"/>
  <c r="Q175" i="1" l="1"/>
  <c r="X175" i="1" s="1"/>
  <c r="X140" i="1"/>
  <c r="Q166" i="1"/>
  <c r="Z166" i="1" s="1"/>
  <c r="AQ175" i="1"/>
  <c r="AK166" i="1"/>
  <c r="X168" i="1"/>
  <c r="X135" i="1"/>
  <c r="Z135" i="1"/>
  <c r="X181" i="1"/>
  <c r="AP168" i="1"/>
  <c r="X173" i="1"/>
  <c r="X171" i="1"/>
  <c r="AK171" i="1"/>
  <c r="AL181" i="1"/>
  <c r="AP175" i="1"/>
  <c r="AK175" i="1"/>
  <c r="AC175" i="1"/>
  <c r="AG175" i="1" s="1"/>
  <c r="AF175" i="1" s="1"/>
  <c r="AQ168" i="1"/>
  <c r="AL168" i="1"/>
  <c r="AC168" i="1"/>
  <c r="AG168" i="1" s="1"/>
  <c r="AF168" i="1" s="1"/>
  <c r="AQ166" i="1"/>
  <c r="AL166" i="1"/>
  <c r="AC166" i="1"/>
  <c r="AG166" i="1" s="1"/>
  <c r="AF166" i="1" s="1"/>
  <c r="AQ171" i="1"/>
  <c r="AL171" i="1"/>
  <c r="AC171" i="1"/>
  <c r="AG171" i="1" s="1"/>
  <c r="AF171" i="1" s="1"/>
  <c r="AQ173" i="1"/>
  <c r="AL173" i="1"/>
  <c r="AC173" i="1"/>
  <c r="AG173" i="1" s="1"/>
  <c r="AF173" i="1" s="1"/>
  <c r="AC181" i="1"/>
  <c r="AG181" i="1" s="1"/>
  <c r="AF181" i="1" s="1"/>
  <c r="Z182" i="1"/>
  <c r="X182" i="1"/>
  <c r="AC182" i="1"/>
  <c r="AG182" i="1" s="1"/>
  <c r="AF182" i="1" s="1"/>
  <c r="AP182" i="1"/>
  <c r="AQ123" i="1"/>
  <c r="AP123" i="1"/>
  <c r="AN123" i="1"/>
  <c r="AL123" i="1"/>
  <c r="AK123" i="1"/>
  <c r="AI123" i="1"/>
  <c r="AA123" i="1"/>
  <c r="Z123" i="1"/>
  <c r="U123" i="1"/>
  <c r="T123" i="1" s="1"/>
  <c r="AO123" i="1" s="1"/>
  <c r="P123" i="1"/>
  <c r="E123" i="1"/>
  <c r="F123" i="1" s="1"/>
  <c r="AE123" i="1" s="1"/>
  <c r="X166" i="1" l="1"/>
  <c r="AJ123" i="1"/>
  <c r="AC123" i="1"/>
  <c r="AG123" i="1" s="1"/>
  <c r="AF123" i="1" s="1"/>
  <c r="Q123" i="1"/>
  <c r="X123" i="1" s="1"/>
  <c r="AQ129" i="1"/>
  <c r="AO129" i="1"/>
  <c r="AN129" i="1"/>
  <c r="AL129" i="1"/>
  <c r="AJ129" i="1"/>
  <c r="AI129" i="1"/>
  <c r="AA129" i="1"/>
  <c r="U129" i="1"/>
  <c r="T129" i="1" s="1"/>
  <c r="AP129" i="1" s="1"/>
  <c r="P129" i="1"/>
  <c r="E129" i="1"/>
  <c r="F129" i="1" s="1"/>
  <c r="AE129" i="1" s="1"/>
  <c r="AP101" i="1"/>
  <c r="AO101" i="1"/>
  <c r="AN101" i="1"/>
  <c r="AK101" i="1"/>
  <c r="AJ101" i="1"/>
  <c r="AI101" i="1"/>
  <c r="AA101" i="1"/>
  <c r="U101" i="1"/>
  <c r="T101" i="1" s="1"/>
  <c r="P101" i="1"/>
  <c r="E101" i="1"/>
  <c r="F101" i="1" s="1"/>
  <c r="AE101" i="1" s="1"/>
  <c r="AK129" i="1" l="1"/>
  <c r="Q129" i="1"/>
  <c r="AC129" i="1"/>
  <c r="AG129" i="1" s="1"/>
  <c r="AF129" i="1" s="1"/>
  <c r="AL101" i="1"/>
  <c r="AQ101" i="1"/>
  <c r="Q101" i="1"/>
  <c r="AC101" i="1"/>
  <c r="AG101" i="1" s="1"/>
  <c r="AF101" i="1" s="1"/>
  <c r="AQ125" i="1"/>
  <c r="AO125" i="1"/>
  <c r="AN125" i="1"/>
  <c r="AL125" i="1"/>
  <c r="AJ125" i="1"/>
  <c r="AI125" i="1"/>
  <c r="AA125" i="1"/>
  <c r="Z125" i="1"/>
  <c r="U125" i="1"/>
  <c r="T125" i="1" s="1"/>
  <c r="P125" i="1"/>
  <c r="E125" i="1"/>
  <c r="F125" i="1" s="1"/>
  <c r="AE125" i="1" s="1"/>
  <c r="AQ124" i="1"/>
  <c r="AO124" i="1"/>
  <c r="AN124" i="1"/>
  <c r="AL124" i="1"/>
  <c r="AJ124" i="1"/>
  <c r="AI124" i="1"/>
  <c r="AA124" i="1"/>
  <c r="U124" i="1"/>
  <c r="T124" i="1" s="1"/>
  <c r="P124" i="1"/>
  <c r="E124" i="1"/>
  <c r="F124" i="1" s="1"/>
  <c r="AE124" i="1" s="1"/>
  <c r="AQ128" i="1"/>
  <c r="AO128" i="1"/>
  <c r="AN128" i="1"/>
  <c r="AL128" i="1"/>
  <c r="AJ128" i="1"/>
  <c r="AI128" i="1"/>
  <c r="AA128" i="1"/>
  <c r="U128" i="1"/>
  <c r="T128" i="1" s="1"/>
  <c r="P128" i="1"/>
  <c r="E128" i="1"/>
  <c r="F128" i="1" s="1"/>
  <c r="AE128" i="1" s="1"/>
  <c r="AC125" i="1" l="1"/>
  <c r="AG125" i="1" s="1"/>
  <c r="AF125" i="1" s="1"/>
  <c r="AK125" i="1"/>
  <c r="AP125" i="1"/>
  <c r="Q124" i="1"/>
  <c r="X129" i="1"/>
  <c r="Z129" i="1"/>
  <c r="X101" i="1"/>
  <c r="Z101" i="1"/>
  <c r="AP124" i="1"/>
  <c r="AK124" i="1"/>
  <c r="Q128" i="1"/>
  <c r="X128" i="1" s="1"/>
  <c r="AK128" i="1"/>
  <c r="AP128" i="1"/>
  <c r="Q125" i="1"/>
  <c r="X125" i="1" s="1"/>
  <c r="AC124" i="1"/>
  <c r="AG124" i="1" s="1"/>
  <c r="AF124" i="1" s="1"/>
  <c r="AC128" i="1"/>
  <c r="AG128" i="1" s="1"/>
  <c r="AF128" i="1" s="1"/>
  <c r="Z128" i="1" l="1"/>
  <c r="X124" i="1"/>
  <c r="Z124" i="1"/>
  <c r="AQ161" i="1" l="1"/>
  <c r="AP161" i="1"/>
  <c r="AN161" i="1"/>
  <c r="AL161" i="1"/>
  <c r="AK161" i="1"/>
  <c r="AI161" i="1"/>
  <c r="AA161" i="1"/>
  <c r="Z161" i="1"/>
  <c r="U161" i="1"/>
  <c r="T161" i="1" s="1"/>
  <c r="AO161" i="1" s="1"/>
  <c r="Q161" i="1"/>
  <c r="P161" i="1"/>
  <c r="E161" i="1"/>
  <c r="F161" i="1" s="1"/>
  <c r="AE161" i="1" s="1"/>
  <c r="AJ161" i="1" l="1"/>
  <c r="AC161" i="1"/>
  <c r="AG161" i="1" s="1"/>
  <c r="AF161" i="1" s="1"/>
  <c r="X161" i="1"/>
  <c r="AQ103" i="1" l="1"/>
  <c r="AP103" i="1"/>
  <c r="AO103" i="1"/>
  <c r="AN103" i="1"/>
  <c r="AL103" i="1"/>
  <c r="AK103" i="1"/>
  <c r="AJ103" i="1"/>
  <c r="AI103" i="1"/>
  <c r="AA103" i="1"/>
  <c r="Z103" i="1"/>
  <c r="U103" i="1"/>
  <c r="T103" i="1" s="1"/>
  <c r="Q103" i="1"/>
  <c r="P103" i="1"/>
  <c r="E103" i="1"/>
  <c r="F103" i="1" s="1"/>
  <c r="AE103" i="1" s="1"/>
  <c r="AC103" i="1" l="1"/>
  <c r="AG103" i="1" s="1"/>
  <c r="AF103" i="1" s="1"/>
  <c r="X103" i="1"/>
  <c r="AQ157" i="1"/>
  <c r="AP157" i="1"/>
  <c r="AN157" i="1"/>
  <c r="AL157" i="1"/>
  <c r="AK157" i="1"/>
  <c r="AI157" i="1"/>
  <c r="AQ152" i="1"/>
  <c r="AP152" i="1"/>
  <c r="AN152" i="1"/>
  <c r="AL152" i="1"/>
  <c r="AK152" i="1"/>
  <c r="AI152" i="1"/>
  <c r="AQ148" i="1"/>
  <c r="AP148" i="1"/>
  <c r="AL148" i="1"/>
  <c r="AK148" i="1"/>
  <c r="AQ150" i="1"/>
  <c r="AP150" i="1"/>
  <c r="AO150" i="1"/>
  <c r="AL150" i="1"/>
  <c r="AK150" i="1"/>
  <c r="AJ150" i="1"/>
  <c r="AQ145" i="1"/>
  <c r="AP145" i="1"/>
  <c r="AO145" i="1"/>
  <c r="AN145" i="1"/>
  <c r="AL145" i="1"/>
  <c r="AK145" i="1"/>
  <c r="AJ145" i="1"/>
  <c r="AI145" i="1"/>
  <c r="AQ144" i="1"/>
  <c r="AP144" i="1"/>
  <c r="AO144" i="1"/>
  <c r="AL144" i="1"/>
  <c r="AK144" i="1"/>
  <c r="AJ144" i="1"/>
  <c r="AQ137" i="1"/>
  <c r="AP137" i="1"/>
  <c r="AO137" i="1"/>
  <c r="AN137" i="1"/>
  <c r="AL137" i="1"/>
  <c r="AK137" i="1"/>
  <c r="AJ137" i="1"/>
  <c r="AI137" i="1"/>
  <c r="AQ132" i="1"/>
  <c r="AP132" i="1"/>
  <c r="AO132" i="1"/>
  <c r="AN132" i="1"/>
  <c r="AL132" i="1"/>
  <c r="AK132" i="1"/>
  <c r="AJ132" i="1"/>
  <c r="AI132" i="1"/>
  <c r="AQ126" i="1"/>
  <c r="AP126" i="1"/>
  <c r="AO126" i="1"/>
  <c r="AN126" i="1"/>
  <c r="AL126" i="1"/>
  <c r="AK126" i="1"/>
  <c r="AJ126" i="1"/>
  <c r="AI126" i="1"/>
  <c r="AQ122" i="1"/>
  <c r="AN122" i="1"/>
  <c r="AL122" i="1"/>
  <c r="AI122" i="1"/>
  <c r="AQ121" i="1"/>
  <c r="AP121" i="1"/>
  <c r="AO121" i="1"/>
  <c r="AN121" i="1"/>
  <c r="AL121" i="1"/>
  <c r="AK121" i="1"/>
  <c r="AJ121" i="1"/>
  <c r="AI121" i="1"/>
  <c r="AQ120" i="1"/>
  <c r="AP120" i="1"/>
  <c r="AN120" i="1"/>
  <c r="AL120" i="1"/>
  <c r="AK120" i="1"/>
  <c r="AI120" i="1"/>
  <c r="AQ119" i="1"/>
  <c r="AP119" i="1"/>
  <c r="AN119" i="1"/>
  <c r="AL119" i="1"/>
  <c r="AK119" i="1"/>
  <c r="AI119" i="1"/>
  <c r="AQ118" i="1"/>
  <c r="AP118" i="1"/>
  <c r="AN118" i="1"/>
  <c r="AL118" i="1"/>
  <c r="AK118" i="1"/>
  <c r="AI118" i="1"/>
  <c r="AQ117" i="1"/>
  <c r="AP117" i="1"/>
  <c r="AO117" i="1"/>
  <c r="AN117" i="1"/>
  <c r="AL117" i="1"/>
  <c r="AK117" i="1"/>
  <c r="AJ117" i="1"/>
  <c r="AI117" i="1"/>
  <c r="AQ116" i="1"/>
  <c r="AP116" i="1"/>
  <c r="AL116" i="1"/>
  <c r="AK116" i="1"/>
  <c r="AQ115" i="1"/>
  <c r="AP115" i="1"/>
  <c r="AO115" i="1"/>
  <c r="AN115" i="1"/>
  <c r="AL115" i="1"/>
  <c r="AK115" i="1"/>
  <c r="AJ115" i="1"/>
  <c r="AI115" i="1"/>
  <c r="AQ114" i="1"/>
  <c r="AP114" i="1"/>
  <c r="AO114" i="1"/>
  <c r="AN114" i="1"/>
  <c r="AL114" i="1"/>
  <c r="AK114" i="1"/>
  <c r="AJ114" i="1"/>
  <c r="AI114" i="1"/>
  <c r="AQ113" i="1"/>
  <c r="AP113" i="1"/>
  <c r="AO113" i="1"/>
  <c r="AL113" i="1"/>
  <c r="AK113" i="1"/>
  <c r="AJ113" i="1"/>
  <c r="AQ112" i="1"/>
  <c r="AP112" i="1"/>
  <c r="AO112" i="1"/>
  <c r="AL112" i="1"/>
  <c r="AK112" i="1"/>
  <c r="AJ112" i="1"/>
  <c r="AQ111" i="1"/>
  <c r="AP111" i="1"/>
  <c r="AO111" i="1"/>
  <c r="AN111" i="1"/>
  <c r="AL111" i="1"/>
  <c r="AK111" i="1"/>
  <c r="AJ111" i="1"/>
  <c r="AI111" i="1"/>
  <c r="AQ110" i="1"/>
  <c r="AP110" i="1"/>
  <c r="AO110" i="1"/>
  <c r="AN110" i="1"/>
  <c r="AL110" i="1"/>
  <c r="AK110" i="1"/>
  <c r="AJ110" i="1"/>
  <c r="AI110" i="1"/>
  <c r="AQ234" i="1" l="1"/>
  <c r="AP234" i="1"/>
  <c r="AO234" i="1"/>
  <c r="AN234" i="1"/>
  <c r="AL234" i="1"/>
  <c r="AK234" i="1"/>
  <c r="AJ234" i="1"/>
  <c r="AI234" i="1"/>
  <c r="AA118" i="1" l="1"/>
  <c r="U118" i="1"/>
  <c r="T118" i="1" s="1"/>
  <c r="P118" i="1"/>
  <c r="E118" i="1"/>
  <c r="F118" i="1" s="1"/>
  <c r="AE118" i="1" s="1"/>
  <c r="AQ93" i="1"/>
  <c r="AP93" i="1"/>
  <c r="AO93" i="1"/>
  <c r="AN93" i="1"/>
  <c r="AL93" i="1"/>
  <c r="AK93" i="1"/>
  <c r="AJ93" i="1"/>
  <c r="AI93" i="1"/>
  <c r="AA93" i="1"/>
  <c r="Z93" i="1"/>
  <c r="U93" i="1"/>
  <c r="T93" i="1" s="1"/>
  <c r="Q93" i="1"/>
  <c r="P93" i="1"/>
  <c r="E93" i="1"/>
  <c r="F93" i="1" s="1"/>
  <c r="AE93" i="1" s="1"/>
  <c r="AO118" i="1" l="1"/>
  <c r="AJ118" i="1"/>
  <c r="Q118" i="1"/>
  <c r="AC118" i="1"/>
  <c r="AG118" i="1" s="1"/>
  <c r="AF118" i="1" s="1"/>
  <c r="X93" i="1"/>
  <c r="AC93" i="1"/>
  <c r="AG93" i="1" s="1"/>
  <c r="AF93" i="1" s="1"/>
  <c r="U95" i="1"/>
  <c r="T95" i="1" s="1"/>
  <c r="AQ99" i="1"/>
  <c r="AP99" i="1"/>
  <c r="AO99" i="1"/>
  <c r="AN99" i="1"/>
  <c r="AL99" i="1"/>
  <c r="AK99" i="1"/>
  <c r="AJ99" i="1"/>
  <c r="AI99" i="1"/>
  <c r="AA99" i="1"/>
  <c r="Z99" i="1"/>
  <c r="U99" i="1"/>
  <c r="T99" i="1" s="1"/>
  <c r="Q99" i="1"/>
  <c r="P99" i="1"/>
  <c r="E99" i="1"/>
  <c r="F99" i="1" s="1"/>
  <c r="AE99" i="1" s="1"/>
  <c r="X118" i="1" l="1"/>
  <c r="Z118" i="1"/>
  <c r="X99" i="1"/>
  <c r="AC99" i="1"/>
  <c r="AG99" i="1" s="1"/>
  <c r="AF99" i="1" s="1"/>
  <c r="AA148" i="1"/>
  <c r="U148" i="1"/>
  <c r="T148" i="1" s="1"/>
  <c r="E148" i="1"/>
  <c r="F148" i="1" s="1"/>
  <c r="AE148" i="1" s="1"/>
  <c r="AN148" i="1" l="1"/>
  <c r="AI148" i="1"/>
  <c r="AC148" i="1"/>
  <c r="AG148" i="1" s="1"/>
  <c r="AF148" i="1" s="1"/>
  <c r="AJ148" i="1"/>
  <c r="AO148" i="1"/>
  <c r="Q148" i="1"/>
  <c r="X148" i="1" l="1"/>
  <c r="Z148" i="1"/>
  <c r="AA119" i="1"/>
  <c r="U119" i="1"/>
  <c r="T119" i="1" s="1"/>
  <c r="P119" i="1"/>
  <c r="E119" i="1"/>
  <c r="F119" i="1" s="1"/>
  <c r="AE119" i="1" s="1"/>
  <c r="E137" i="1"/>
  <c r="F137" i="1" s="1"/>
  <c r="E132" i="1"/>
  <c r="F132" i="1" s="1"/>
  <c r="AO119" i="1" l="1"/>
  <c r="AJ119" i="1"/>
  <c r="Q119" i="1"/>
  <c r="AC119" i="1"/>
  <c r="AG119" i="1" s="1"/>
  <c r="AF119" i="1" s="1"/>
  <c r="E121" i="1"/>
  <c r="F121" i="1" s="1"/>
  <c r="P152" i="1"/>
  <c r="X119" i="1" l="1"/>
  <c r="Z119" i="1"/>
  <c r="AQ104" i="1"/>
  <c r="AP104" i="1"/>
  <c r="AO104" i="1"/>
  <c r="AN104" i="1"/>
  <c r="AL104" i="1"/>
  <c r="AK104" i="1"/>
  <c r="AJ104" i="1"/>
  <c r="AI104" i="1"/>
  <c r="AA104" i="1"/>
  <c r="Z104" i="1"/>
  <c r="U104" i="1"/>
  <c r="T104" i="1" s="1"/>
  <c r="P104" i="1"/>
  <c r="E104" i="1"/>
  <c r="F104" i="1" s="1"/>
  <c r="AE104" i="1" s="1"/>
  <c r="O112" i="1"/>
  <c r="AQ105" i="1"/>
  <c r="AP105" i="1"/>
  <c r="AO105" i="1"/>
  <c r="AN105" i="1"/>
  <c r="AL105" i="1"/>
  <c r="AK105" i="1"/>
  <c r="AJ105" i="1"/>
  <c r="AI105" i="1"/>
  <c r="AA105" i="1"/>
  <c r="U105" i="1"/>
  <c r="T105" i="1" s="1"/>
  <c r="P105" i="1"/>
  <c r="E105" i="1"/>
  <c r="F105" i="1" s="1"/>
  <c r="AE105" i="1" s="1"/>
  <c r="Z95" i="1"/>
  <c r="AI95" i="1"/>
  <c r="AJ95" i="1"/>
  <c r="AK95" i="1"/>
  <c r="AL95" i="1"/>
  <c r="AN95" i="1"/>
  <c r="AO95" i="1"/>
  <c r="AP95" i="1"/>
  <c r="AQ95" i="1"/>
  <c r="E95" i="1"/>
  <c r="F95" i="1" s="1"/>
  <c r="AE95" i="1" s="1"/>
  <c r="AA95" i="1"/>
  <c r="AQ97" i="1"/>
  <c r="AP97" i="1"/>
  <c r="AO97" i="1"/>
  <c r="AN97" i="1"/>
  <c r="AL97" i="1"/>
  <c r="AK97" i="1"/>
  <c r="AJ97" i="1"/>
  <c r="AI97" i="1"/>
  <c r="AA97" i="1"/>
  <c r="U97" i="1"/>
  <c r="T97" i="1" s="1"/>
  <c r="P97" i="1"/>
  <c r="E97" i="1"/>
  <c r="F97" i="1" s="1"/>
  <c r="AE97" i="1" s="1"/>
  <c r="E145" i="1"/>
  <c r="F145" i="1" s="1"/>
  <c r="AE145" i="1" s="1"/>
  <c r="AA157" i="1"/>
  <c r="Z157" i="1"/>
  <c r="U157" i="1"/>
  <c r="T157" i="1" s="1"/>
  <c r="Q157" i="1"/>
  <c r="P157" i="1"/>
  <c r="E157" i="1"/>
  <c r="F157" i="1" s="1"/>
  <c r="AE157" i="1" s="1"/>
  <c r="AA152" i="1"/>
  <c r="U152" i="1"/>
  <c r="T152" i="1" s="1"/>
  <c r="E152" i="1"/>
  <c r="F152" i="1" s="1"/>
  <c r="AE152" i="1" s="1"/>
  <c r="AA150" i="1"/>
  <c r="Z150" i="1"/>
  <c r="U150" i="1"/>
  <c r="T150" i="1" s="1"/>
  <c r="Q150" i="1"/>
  <c r="P150" i="1"/>
  <c r="E150" i="1"/>
  <c r="F150" i="1" s="1"/>
  <c r="AE150" i="1" s="1"/>
  <c r="AA145" i="1"/>
  <c r="Z145" i="1"/>
  <c r="U145" i="1"/>
  <c r="Q145" i="1" s="1"/>
  <c r="P145" i="1"/>
  <c r="AA144" i="1"/>
  <c r="Z144" i="1"/>
  <c r="U144" i="1"/>
  <c r="T144" i="1" s="1"/>
  <c r="Q144" i="1"/>
  <c r="P144" i="1"/>
  <c r="E144" i="1"/>
  <c r="AA112" i="1"/>
  <c r="U112" i="1"/>
  <c r="E112" i="1"/>
  <c r="F112" i="1" s="1"/>
  <c r="AE112" i="1" s="1"/>
  <c r="D183" i="1" l="1"/>
  <c r="F144" i="1"/>
  <c r="AE144" i="1" s="1"/>
  <c r="AE183" i="1" s="1"/>
  <c r="AC157" i="1"/>
  <c r="AG157" i="1" s="1"/>
  <c r="AF157" i="1" s="1"/>
  <c r="AO157" i="1"/>
  <c r="AJ157" i="1"/>
  <c r="T112" i="1"/>
  <c r="AN112" i="1" s="1"/>
  <c r="AN150" i="1"/>
  <c r="AI150" i="1"/>
  <c r="AO152" i="1"/>
  <c r="AJ152" i="1"/>
  <c r="AN144" i="1"/>
  <c r="AI144" i="1"/>
  <c r="Q104" i="1"/>
  <c r="X104" i="1" s="1"/>
  <c r="Q152" i="1"/>
  <c r="AC104" i="1"/>
  <c r="AG104" i="1" s="1"/>
  <c r="AF104" i="1" s="1"/>
  <c r="P112" i="1"/>
  <c r="X150" i="1"/>
  <c r="Q105" i="1"/>
  <c r="AC105" i="1"/>
  <c r="AG105" i="1" s="1"/>
  <c r="AF105" i="1" s="1"/>
  <c r="AC152" i="1"/>
  <c r="AG152" i="1" s="1"/>
  <c r="AF152" i="1" s="1"/>
  <c r="X144" i="1"/>
  <c r="X157" i="1"/>
  <c r="AC95" i="1"/>
  <c r="AG95" i="1" s="1"/>
  <c r="Q95" i="1"/>
  <c r="X95" i="1" s="1"/>
  <c r="Q97" i="1"/>
  <c r="AC97" i="1"/>
  <c r="AG97" i="1" s="1"/>
  <c r="AF97" i="1" s="1"/>
  <c r="X145" i="1"/>
  <c r="AC150" i="1"/>
  <c r="AG150" i="1" s="1"/>
  <c r="AF150" i="1" s="1"/>
  <c r="AL183" i="1"/>
  <c r="AL184" i="1" s="1"/>
  <c r="AK183" i="1"/>
  <c r="AK184" i="1" s="1"/>
  <c r="AP183" i="1"/>
  <c r="AP184" i="1" s="1"/>
  <c r="AC145" i="1"/>
  <c r="AG145" i="1" s="1"/>
  <c r="AF145" i="1" s="1"/>
  <c r="H183" i="1"/>
  <c r="J183" i="1" s="1"/>
  <c r="AQ183" i="1"/>
  <c r="AQ184" i="1" s="1"/>
  <c r="AA183" i="1"/>
  <c r="AB183" i="1" s="1"/>
  <c r="AC144" i="1"/>
  <c r="AQ87" i="1"/>
  <c r="AP87" i="1"/>
  <c r="AO87" i="1"/>
  <c r="AN87" i="1"/>
  <c r="AL87" i="1"/>
  <c r="AK87" i="1"/>
  <c r="AJ87" i="1"/>
  <c r="AI87" i="1"/>
  <c r="AA87" i="1"/>
  <c r="U87" i="1"/>
  <c r="T87" i="1" s="1"/>
  <c r="P87" i="1"/>
  <c r="E87" i="1"/>
  <c r="F87" i="1" s="1"/>
  <c r="AE87" i="1" s="1"/>
  <c r="AG144" i="1" l="1"/>
  <c r="AG183" i="1" s="1"/>
  <c r="AH183" i="1" s="1"/>
  <c r="AO183" i="1"/>
  <c r="AO184" i="1" s="1"/>
  <c r="AJ183" i="1"/>
  <c r="AJ184" i="1" s="1"/>
  <c r="AI112" i="1"/>
  <c r="Q112" i="1"/>
  <c r="X112" i="1" s="1"/>
  <c r="AC112" i="1"/>
  <c r="AG112" i="1" s="1"/>
  <c r="AF112" i="1" s="1"/>
  <c r="AI183" i="1"/>
  <c r="AI184" i="1" s="1"/>
  <c r="AN183" i="1"/>
  <c r="AN184" i="1" s="1"/>
  <c r="X152" i="1"/>
  <c r="Z152" i="1"/>
  <c r="Z183" i="1" s="1"/>
  <c r="Q183" i="1" s="1"/>
  <c r="X105" i="1"/>
  <c r="Z105" i="1"/>
  <c r="X97" i="1"/>
  <c r="Z97" i="1"/>
  <c r="Q87" i="1"/>
  <c r="AC87" i="1"/>
  <c r="AG87" i="1" s="1"/>
  <c r="AF87" i="1" s="1"/>
  <c r="AQ83" i="1"/>
  <c r="AP83" i="1"/>
  <c r="AO83" i="1"/>
  <c r="AN83" i="1"/>
  <c r="AL83" i="1"/>
  <c r="AK83" i="1"/>
  <c r="AJ83" i="1"/>
  <c r="AI83" i="1"/>
  <c r="AA83" i="1"/>
  <c r="Z83" i="1"/>
  <c r="U83" i="1"/>
  <c r="T83" i="1" s="1"/>
  <c r="Q83" i="1" s="1"/>
  <c r="P83" i="1"/>
  <c r="E83" i="1"/>
  <c r="F83" i="1" s="1"/>
  <c r="AE83" i="1" s="1"/>
  <c r="AQ107" i="1"/>
  <c r="AP107" i="1"/>
  <c r="AO107" i="1"/>
  <c r="AN107" i="1"/>
  <c r="AL107" i="1"/>
  <c r="AK107" i="1"/>
  <c r="AJ107" i="1"/>
  <c r="AI107" i="1"/>
  <c r="AQ106" i="1"/>
  <c r="AP106" i="1"/>
  <c r="AO106" i="1"/>
  <c r="AN106" i="1"/>
  <c r="AL106" i="1"/>
  <c r="AK106" i="1"/>
  <c r="AJ106" i="1"/>
  <c r="AI106" i="1"/>
  <c r="AQ102" i="1"/>
  <c r="AP102" i="1"/>
  <c r="AO102" i="1"/>
  <c r="AN102" i="1"/>
  <c r="AL102" i="1"/>
  <c r="AK102" i="1"/>
  <c r="AJ102" i="1"/>
  <c r="AI102" i="1"/>
  <c r="AQ100" i="1"/>
  <c r="AP100" i="1"/>
  <c r="AO100" i="1"/>
  <c r="AN100" i="1"/>
  <c r="AL100" i="1"/>
  <c r="AK100" i="1"/>
  <c r="AJ100" i="1"/>
  <c r="AI100" i="1"/>
  <c r="AQ98" i="1"/>
  <c r="AP98" i="1"/>
  <c r="AO98" i="1"/>
  <c r="AN98" i="1"/>
  <c r="AL98" i="1"/>
  <c r="AK98" i="1"/>
  <c r="AJ98" i="1"/>
  <c r="AI98" i="1"/>
  <c r="AQ96" i="1"/>
  <c r="AP96" i="1"/>
  <c r="AO96" i="1"/>
  <c r="AN96" i="1"/>
  <c r="AL96" i="1"/>
  <c r="AK96" i="1"/>
  <c r="AJ96" i="1"/>
  <c r="AI96" i="1"/>
  <c r="AQ92" i="1"/>
  <c r="AP92" i="1"/>
  <c r="AO92" i="1"/>
  <c r="AN92" i="1"/>
  <c r="AL92" i="1"/>
  <c r="AK92" i="1"/>
  <c r="AJ92" i="1"/>
  <c r="AI92" i="1"/>
  <c r="AQ91" i="1"/>
  <c r="AP91" i="1"/>
  <c r="AO91" i="1"/>
  <c r="AN91" i="1"/>
  <c r="AL91" i="1"/>
  <c r="AK91" i="1"/>
  <c r="AJ91" i="1"/>
  <c r="AI91" i="1"/>
  <c r="AQ90" i="1"/>
  <c r="AO90" i="1"/>
  <c r="AN90" i="1"/>
  <c r="AL90" i="1"/>
  <c r="AJ90" i="1"/>
  <c r="AI90" i="1"/>
  <c r="AQ89" i="1"/>
  <c r="AP89" i="1"/>
  <c r="AO89" i="1"/>
  <c r="AN89" i="1"/>
  <c r="AL89" i="1"/>
  <c r="AK89" i="1"/>
  <c r="AJ89" i="1"/>
  <c r="AI89" i="1"/>
  <c r="AQ88" i="1"/>
  <c r="AP88" i="1"/>
  <c r="AO88" i="1"/>
  <c r="AN88" i="1"/>
  <c r="AL88" i="1"/>
  <c r="AK88" i="1"/>
  <c r="AJ88" i="1"/>
  <c r="AI88" i="1"/>
  <c r="AQ86" i="1"/>
  <c r="AP86" i="1"/>
  <c r="AO86" i="1"/>
  <c r="AN86" i="1"/>
  <c r="AL86" i="1"/>
  <c r="AK86" i="1"/>
  <c r="AJ86" i="1"/>
  <c r="AI86" i="1"/>
  <c r="AQ85" i="1"/>
  <c r="AP85" i="1"/>
  <c r="AO85" i="1"/>
  <c r="AN85" i="1"/>
  <c r="AL85" i="1"/>
  <c r="AK85" i="1"/>
  <c r="AJ85" i="1"/>
  <c r="AI85" i="1"/>
  <c r="AQ84" i="1"/>
  <c r="AP84" i="1"/>
  <c r="AN84" i="1"/>
  <c r="AL84" i="1"/>
  <c r="AK84" i="1"/>
  <c r="AI84" i="1"/>
  <c r="AQ82" i="1"/>
  <c r="AP82" i="1"/>
  <c r="AO82" i="1"/>
  <c r="AN82" i="1"/>
  <c r="AL82" i="1"/>
  <c r="AK82" i="1"/>
  <c r="AJ82" i="1"/>
  <c r="AI82" i="1"/>
  <c r="AQ81" i="1"/>
  <c r="AP81" i="1"/>
  <c r="AO81" i="1"/>
  <c r="AN81" i="1"/>
  <c r="AL81" i="1"/>
  <c r="AK81" i="1"/>
  <c r="AJ81" i="1"/>
  <c r="AI81" i="1"/>
  <c r="AQ80" i="1"/>
  <c r="AP80" i="1"/>
  <c r="AO80" i="1"/>
  <c r="AN80" i="1"/>
  <c r="AL80" i="1"/>
  <c r="AK80" i="1"/>
  <c r="AJ80" i="1"/>
  <c r="AI80" i="1"/>
  <c r="AQ79" i="1"/>
  <c r="AP79" i="1"/>
  <c r="AO79" i="1"/>
  <c r="AN79" i="1"/>
  <c r="AL79" i="1"/>
  <c r="AK79" i="1"/>
  <c r="AJ79" i="1"/>
  <c r="AI79" i="1"/>
  <c r="AQ78" i="1"/>
  <c r="AP78" i="1"/>
  <c r="AO78" i="1"/>
  <c r="AN78" i="1"/>
  <c r="AL78" i="1"/>
  <c r="AK78" i="1"/>
  <c r="AJ78" i="1"/>
  <c r="AI78" i="1"/>
  <c r="AQ77" i="1"/>
  <c r="AP77" i="1"/>
  <c r="AO77" i="1"/>
  <c r="AN77" i="1"/>
  <c r="AL77" i="1"/>
  <c r="AK77" i="1"/>
  <c r="AJ77" i="1"/>
  <c r="AI77" i="1"/>
  <c r="AQ76" i="1"/>
  <c r="AP76" i="1"/>
  <c r="AO76" i="1"/>
  <c r="AN76" i="1"/>
  <c r="AL76" i="1"/>
  <c r="AK76" i="1"/>
  <c r="AJ76" i="1"/>
  <c r="AI76" i="1"/>
  <c r="AQ75" i="1"/>
  <c r="AP75" i="1"/>
  <c r="AO75" i="1"/>
  <c r="AN75" i="1"/>
  <c r="AL75" i="1"/>
  <c r="AK75" i="1"/>
  <c r="AJ75" i="1"/>
  <c r="AI75" i="1"/>
  <c r="AQ72" i="1"/>
  <c r="AP72" i="1"/>
  <c r="AO72" i="1"/>
  <c r="AN72" i="1"/>
  <c r="AQ71" i="1"/>
  <c r="AP71" i="1"/>
  <c r="AO71" i="1"/>
  <c r="AN71" i="1"/>
  <c r="AQ70" i="1"/>
  <c r="AP70" i="1"/>
  <c r="AO70" i="1"/>
  <c r="AN70" i="1"/>
  <c r="AQ69" i="1"/>
  <c r="AP69" i="1"/>
  <c r="AO69" i="1"/>
  <c r="AN69" i="1"/>
  <c r="AQ68" i="1"/>
  <c r="AP68" i="1"/>
  <c r="AO68" i="1"/>
  <c r="AN68" i="1"/>
  <c r="AQ67" i="1"/>
  <c r="AP67" i="1"/>
  <c r="AO67" i="1"/>
  <c r="AN67" i="1"/>
  <c r="AQ66" i="1"/>
  <c r="AP66" i="1"/>
  <c r="AO66" i="1"/>
  <c r="AN66" i="1"/>
  <c r="AQ65" i="1"/>
  <c r="AP65" i="1"/>
  <c r="AO65" i="1"/>
  <c r="AN65" i="1"/>
  <c r="AQ64" i="1"/>
  <c r="AP64" i="1"/>
  <c r="AO64" i="1"/>
  <c r="AN64" i="1"/>
  <c r="AQ63" i="1"/>
  <c r="AP63" i="1"/>
  <c r="AO63" i="1"/>
  <c r="AN63" i="1"/>
  <c r="AQ62" i="1"/>
  <c r="AP62" i="1"/>
  <c r="AO62" i="1"/>
  <c r="AN62" i="1"/>
  <c r="AQ61" i="1"/>
  <c r="AP61" i="1"/>
  <c r="AO61" i="1"/>
  <c r="AN61" i="1"/>
  <c r="AQ60" i="1"/>
  <c r="AP60" i="1"/>
  <c r="AO60" i="1"/>
  <c r="AN60" i="1"/>
  <c r="AQ59" i="1"/>
  <c r="AP59" i="1"/>
  <c r="AO59" i="1"/>
  <c r="AN59" i="1"/>
  <c r="AQ94" i="1"/>
  <c r="AP94" i="1"/>
  <c r="AO94" i="1"/>
  <c r="AN94" i="1"/>
  <c r="AQ58" i="1"/>
  <c r="AO58" i="1"/>
  <c r="AN58" i="1"/>
  <c r="AQ57" i="1"/>
  <c r="AP57" i="1"/>
  <c r="AO57" i="1"/>
  <c r="AN57" i="1"/>
  <c r="AQ56" i="1"/>
  <c r="AP56" i="1"/>
  <c r="AO56" i="1"/>
  <c r="AN56" i="1"/>
  <c r="AQ55" i="1"/>
  <c r="AP55" i="1"/>
  <c r="AO55" i="1"/>
  <c r="AN55" i="1"/>
  <c r="AQ54" i="1"/>
  <c r="AO54" i="1"/>
  <c r="AN54" i="1"/>
  <c r="AQ53" i="1"/>
  <c r="AP53" i="1"/>
  <c r="AO53" i="1"/>
  <c r="AN53" i="1"/>
  <c r="AQ52" i="1"/>
  <c r="AP52" i="1"/>
  <c r="AO52" i="1"/>
  <c r="AN52" i="1"/>
  <c r="AQ51" i="1"/>
  <c r="AP51" i="1"/>
  <c r="AO51" i="1"/>
  <c r="AN51" i="1"/>
  <c r="AQ50" i="1"/>
  <c r="AP50" i="1"/>
  <c r="AN50" i="1"/>
  <c r="AQ49" i="1"/>
  <c r="AP49" i="1"/>
  <c r="AO49" i="1"/>
  <c r="AN49" i="1"/>
  <c r="AQ48" i="1"/>
  <c r="AP48" i="1"/>
  <c r="AN48" i="1"/>
  <c r="AQ47" i="1"/>
  <c r="AP47" i="1"/>
  <c r="AO47" i="1"/>
  <c r="AN47" i="1"/>
  <c r="AQ46" i="1"/>
  <c r="AP46" i="1"/>
  <c r="AN46" i="1"/>
  <c r="AQ45" i="1"/>
  <c r="AP45" i="1"/>
  <c r="AO45" i="1"/>
  <c r="AN45" i="1"/>
  <c r="AQ44" i="1"/>
  <c r="AP44" i="1"/>
  <c r="AN44" i="1"/>
  <c r="AQ43" i="1"/>
  <c r="AP43" i="1"/>
  <c r="AO43" i="1"/>
  <c r="AN43" i="1"/>
  <c r="AQ42" i="1"/>
  <c r="AP42" i="1"/>
  <c r="AO42" i="1"/>
  <c r="AQ41" i="1"/>
  <c r="AP41" i="1"/>
  <c r="AO41" i="1"/>
  <c r="AN41" i="1"/>
  <c r="AQ40" i="1"/>
  <c r="AP40" i="1"/>
  <c r="AO40" i="1"/>
  <c r="AN40" i="1"/>
  <c r="AQ39" i="1"/>
  <c r="AP39" i="1"/>
  <c r="AO39" i="1"/>
  <c r="AN39" i="1"/>
  <c r="AQ38" i="1"/>
  <c r="AP38" i="1"/>
  <c r="AO38" i="1"/>
  <c r="AN38" i="1"/>
  <c r="AQ37" i="1"/>
  <c r="AP37" i="1"/>
  <c r="AO37" i="1"/>
  <c r="AN37" i="1"/>
  <c r="AQ36" i="1"/>
  <c r="AP36" i="1"/>
  <c r="AO36" i="1"/>
  <c r="AN36" i="1"/>
  <c r="AL41" i="1"/>
  <c r="AK41" i="1"/>
  <c r="AJ41" i="1"/>
  <c r="AI41" i="1"/>
  <c r="AQ17" i="1"/>
  <c r="AP17" i="1"/>
  <c r="AO17" i="1"/>
  <c r="AN17" i="1"/>
  <c r="AQ33" i="1"/>
  <c r="AP33" i="1"/>
  <c r="AO33" i="1"/>
  <c r="AN33" i="1"/>
  <c r="AQ32" i="1"/>
  <c r="AP32" i="1"/>
  <c r="AO32" i="1"/>
  <c r="AN32" i="1"/>
  <c r="AQ31" i="1"/>
  <c r="AP31" i="1"/>
  <c r="AO31" i="1"/>
  <c r="AN31" i="1"/>
  <c r="AQ30" i="1"/>
  <c r="AP30" i="1"/>
  <c r="AO30" i="1"/>
  <c r="AN30" i="1"/>
  <c r="AQ29" i="1"/>
  <c r="AP29" i="1"/>
  <c r="AO29" i="1"/>
  <c r="AN29" i="1"/>
  <c r="AQ28" i="1"/>
  <c r="AP28" i="1"/>
  <c r="AO28" i="1"/>
  <c r="AN28" i="1"/>
  <c r="AQ27" i="1"/>
  <c r="AP27" i="1"/>
  <c r="AO27" i="1"/>
  <c r="AN27" i="1"/>
  <c r="AQ26" i="1"/>
  <c r="AP26" i="1"/>
  <c r="AO26" i="1"/>
  <c r="AN26" i="1"/>
  <c r="AQ25" i="1"/>
  <c r="AP25" i="1"/>
  <c r="AO25" i="1"/>
  <c r="AN25" i="1"/>
  <c r="AQ24" i="1"/>
  <c r="AP24" i="1"/>
  <c r="AO24" i="1"/>
  <c r="AN24" i="1"/>
  <c r="AQ23" i="1"/>
  <c r="AO23" i="1"/>
  <c r="AN23" i="1"/>
  <c r="AQ22" i="1"/>
  <c r="AP22" i="1"/>
  <c r="AO22" i="1"/>
  <c r="AN22" i="1"/>
  <c r="AQ21" i="1"/>
  <c r="AP21" i="1"/>
  <c r="AO21" i="1"/>
  <c r="AN21" i="1"/>
  <c r="AQ20" i="1"/>
  <c r="AP20" i="1"/>
  <c r="AO20" i="1"/>
  <c r="AN20" i="1"/>
  <c r="AQ19" i="1"/>
  <c r="AP19" i="1"/>
  <c r="AO19" i="1"/>
  <c r="AN19" i="1"/>
  <c r="AQ18" i="1"/>
  <c r="AP18" i="1"/>
  <c r="AO18" i="1"/>
  <c r="AN18" i="1"/>
  <c r="AL33" i="1"/>
  <c r="AK33" i="1"/>
  <c r="AJ33" i="1"/>
  <c r="AI33" i="1"/>
  <c r="AL32" i="1"/>
  <c r="AK32" i="1"/>
  <c r="AJ32" i="1"/>
  <c r="AI32" i="1"/>
  <c r="AL31" i="1"/>
  <c r="AK31" i="1"/>
  <c r="AJ31" i="1"/>
  <c r="AI31" i="1"/>
  <c r="AL30" i="1"/>
  <c r="AK30" i="1"/>
  <c r="AJ30" i="1"/>
  <c r="AI30" i="1"/>
  <c r="AL29" i="1"/>
  <c r="AK29" i="1"/>
  <c r="AJ29" i="1"/>
  <c r="AI29" i="1"/>
  <c r="AL28" i="1"/>
  <c r="AK28" i="1"/>
  <c r="AJ28" i="1"/>
  <c r="AI28" i="1"/>
  <c r="AL27" i="1"/>
  <c r="AK27" i="1"/>
  <c r="AJ27" i="1"/>
  <c r="AI27" i="1"/>
  <c r="AL26" i="1"/>
  <c r="AK26" i="1"/>
  <c r="AJ26" i="1"/>
  <c r="AI26" i="1"/>
  <c r="AL25" i="1"/>
  <c r="AK25" i="1"/>
  <c r="AJ25" i="1"/>
  <c r="AI25" i="1"/>
  <c r="AL24" i="1"/>
  <c r="AK24" i="1"/>
  <c r="AJ24" i="1"/>
  <c r="AI24" i="1"/>
  <c r="AL23" i="1"/>
  <c r="AJ23" i="1"/>
  <c r="AI23" i="1"/>
  <c r="AL22" i="1"/>
  <c r="AK22" i="1"/>
  <c r="AJ22" i="1"/>
  <c r="AI22" i="1"/>
  <c r="AL21" i="1"/>
  <c r="AK21" i="1"/>
  <c r="AJ21" i="1"/>
  <c r="AI21" i="1"/>
  <c r="AL20" i="1"/>
  <c r="AK20" i="1"/>
  <c r="AJ20" i="1"/>
  <c r="AI20" i="1"/>
  <c r="AL19" i="1"/>
  <c r="AK19" i="1"/>
  <c r="AJ19" i="1"/>
  <c r="AI19" i="1"/>
  <c r="AL18" i="1"/>
  <c r="AK18" i="1"/>
  <c r="AJ18" i="1"/>
  <c r="AI18" i="1"/>
  <c r="AL17" i="1"/>
  <c r="AK17" i="1"/>
  <c r="AJ17" i="1"/>
  <c r="AI17" i="1"/>
  <c r="AL72" i="1"/>
  <c r="AK72" i="1"/>
  <c r="AJ72" i="1"/>
  <c r="AI72" i="1"/>
  <c r="AL71" i="1"/>
  <c r="AK71" i="1"/>
  <c r="AJ71" i="1"/>
  <c r="AI71" i="1"/>
  <c r="AL70" i="1"/>
  <c r="AK70" i="1"/>
  <c r="AJ70" i="1"/>
  <c r="AI70" i="1"/>
  <c r="AL69" i="1"/>
  <c r="AK69" i="1"/>
  <c r="AJ69" i="1"/>
  <c r="AI69" i="1"/>
  <c r="AL68" i="1"/>
  <c r="AK68" i="1"/>
  <c r="AJ68" i="1"/>
  <c r="AI68" i="1"/>
  <c r="AL67" i="1"/>
  <c r="AK67" i="1"/>
  <c r="AJ67" i="1"/>
  <c r="AI67" i="1"/>
  <c r="AL66" i="1"/>
  <c r="AK66" i="1"/>
  <c r="AJ66" i="1"/>
  <c r="AI66" i="1"/>
  <c r="AL65" i="1"/>
  <c r="AK65" i="1"/>
  <c r="AJ65" i="1"/>
  <c r="AI65" i="1"/>
  <c r="AL64" i="1"/>
  <c r="AK64" i="1"/>
  <c r="AJ64" i="1"/>
  <c r="AI64" i="1"/>
  <c r="AL63" i="1"/>
  <c r="AK63" i="1"/>
  <c r="AJ63" i="1"/>
  <c r="AI63" i="1"/>
  <c r="AL62" i="1"/>
  <c r="AK62" i="1"/>
  <c r="AJ62" i="1"/>
  <c r="AI62" i="1"/>
  <c r="AL61" i="1"/>
  <c r="AK61" i="1"/>
  <c r="AJ61" i="1"/>
  <c r="AI61" i="1"/>
  <c r="AL60" i="1"/>
  <c r="AK60" i="1"/>
  <c r="AJ60" i="1"/>
  <c r="AI60" i="1"/>
  <c r="AL59" i="1"/>
  <c r="AK59" i="1"/>
  <c r="AJ59" i="1"/>
  <c r="AI59" i="1"/>
  <c r="AL94" i="1"/>
  <c r="AK94" i="1"/>
  <c r="AJ94" i="1"/>
  <c r="AI94" i="1"/>
  <c r="AL58" i="1"/>
  <c r="AJ58" i="1"/>
  <c r="AI58" i="1"/>
  <c r="AL57" i="1"/>
  <c r="AK57" i="1"/>
  <c r="AJ57" i="1"/>
  <c r="AI57" i="1"/>
  <c r="AL56" i="1"/>
  <c r="AK56" i="1"/>
  <c r="AJ56" i="1"/>
  <c r="AI56" i="1"/>
  <c r="AL55" i="1"/>
  <c r="AK55" i="1"/>
  <c r="AJ55" i="1"/>
  <c r="AI55" i="1"/>
  <c r="AL54" i="1"/>
  <c r="AJ54" i="1"/>
  <c r="AI54" i="1"/>
  <c r="AL53" i="1"/>
  <c r="AK53" i="1"/>
  <c r="AJ53" i="1"/>
  <c r="AI53" i="1"/>
  <c r="AL52" i="1"/>
  <c r="AK52" i="1"/>
  <c r="AJ52" i="1"/>
  <c r="AI52" i="1"/>
  <c r="AL51" i="1"/>
  <c r="AK51" i="1"/>
  <c r="AJ51" i="1"/>
  <c r="AI51" i="1"/>
  <c r="AL50" i="1"/>
  <c r="AK50" i="1"/>
  <c r="AI50" i="1"/>
  <c r="AL49" i="1"/>
  <c r="AK49" i="1"/>
  <c r="AJ49" i="1"/>
  <c r="AI49" i="1"/>
  <c r="AL48" i="1"/>
  <c r="AK48" i="1"/>
  <c r="AI48" i="1"/>
  <c r="AL47" i="1"/>
  <c r="AK47" i="1"/>
  <c r="AJ47" i="1"/>
  <c r="AI47" i="1"/>
  <c r="AL46" i="1"/>
  <c r="AK46" i="1"/>
  <c r="AI46" i="1"/>
  <c r="AL45" i="1"/>
  <c r="AK45" i="1"/>
  <c r="AJ45" i="1"/>
  <c r="AI45" i="1"/>
  <c r="AL44" i="1"/>
  <c r="AK44" i="1"/>
  <c r="AI44" i="1"/>
  <c r="AL43" i="1"/>
  <c r="AK43" i="1"/>
  <c r="AJ43" i="1"/>
  <c r="AI43" i="1"/>
  <c r="AL42" i="1"/>
  <c r="AK42" i="1"/>
  <c r="AJ42" i="1"/>
  <c r="AL40" i="1"/>
  <c r="AK40" i="1"/>
  <c r="AJ40" i="1"/>
  <c r="AI40" i="1"/>
  <c r="AL39" i="1"/>
  <c r="AK39" i="1"/>
  <c r="AJ39" i="1"/>
  <c r="AI39" i="1"/>
  <c r="AL38" i="1"/>
  <c r="AK38" i="1"/>
  <c r="AJ38" i="1"/>
  <c r="AI38" i="1"/>
  <c r="AL37" i="1"/>
  <c r="AK37" i="1"/>
  <c r="AJ37" i="1"/>
  <c r="AI37" i="1"/>
  <c r="AL36" i="1"/>
  <c r="AK36" i="1"/>
  <c r="AJ36" i="1"/>
  <c r="AI36" i="1"/>
  <c r="AA77" i="1"/>
  <c r="Z77" i="1"/>
  <c r="U77" i="1"/>
  <c r="T77" i="1" s="1"/>
  <c r="P77" i="1"/>
  <c r="E77" i="1"/>
  <c r="F77" i="1" s="1"/>
  <c r="AE77" i="1" s="1"/>
  <c r="AA86" i="1"/>
  <c r="U86" i="1"/>
  <c r="T86" i="1" s="1"/>
  <c r="P86" i="1"/>
  <c r="E86" i="1"/>
  <c r="F86" i="1" s="1"/>
  <c r="AE86" i="1" s="1"/>
  <c r="E88" i="1"/>
  <c r="F88" i="1" s="1"/>
  <c r="AE88" i="1" s="1"/>
  <c r="P88" i="1"/>
  <c r="Q88" i="1"/>
  <c r="U88" i="1"/>
  <c r="T88" i="1" s="1"/>
  <c r="Z88" i="1"/>
  <c r="AA88" i="1"/>
  <c r="Q91" i="1"/>
  <c r="AM184" i="1" l="1"/>
  <c r="AR184" i="1"/>
  <c r="AF144" i="1"/>
  <c r="AF183" i="1" s="1"/>
  <c r="M183" i="1" s="1"/>
  <c r="Z112" i="1"/>
  <c r="AM183" i="1"/>
  <c r="AR183" i="1"/>
  <c r="Y183" i="1"/>
  <c r="AL142" i="1"/>
  <c r="AQ142" i="1"/>
  <c r="X87" i="1"/>
  <c r="Z87" i="1"/>
  <c r="AL73" i="1"/>
  <c r="AL74" i="1" s="1"/>
  <c r="AC88" i="1"/>
  <c r="AG88" i="1" s="1"/>
  <c r="AF88" i="1" s="1"/>
  <c r="X88" i="1"/>
  <c r="AC77" i="1"/>
  <c r="AG77" i="1" s="1"/>
  <c r="AF77" i="1" s="1"/>
  <c r="X83" i="1"/>
  <c r="AI108" i="1"/>
  <c r="AI109" i="1" s="1"/>
  <c r="AN108" i="1"/>
  <c r="AN109" i="1" s="1"/>
  <c r="AC83" i="1"/>
  <c r="AG83" i="1" s="1"/>
  <c r="AF83" i="1" s="1"/>
  <c r="AQ108" i="1"/>
  <c r="AQ109" i="1" s="1"/>
  <c r="AL108" i="1"/>
  <c r="AL109" i="1" s="1"/>
  <c r="AQ73" i="1"/>
  <c r="AQ74" i="1" s="1"/>
  <c r="AI34" i="1"/>
  <c r="AI35" i="1" s="1"/>
  <c r="AQ34" i="1"/>
  <c r="AQ35" i="1" s="1"/>
  <c r="AO34" i="1"/>
  <c r="AO35" i="1" s="1"/>
  <c r="AN34" i="1"/>
  <c r="AN35" i="1" s="1"/>
  <c r="AL34" i="1"/>
  <c r="AL35" i="1" s="1"/>
  <c r="AJ34" i="1"/>
  <c r="AJ35" i="1" s="1"/>
  <c r="Q77" i="1"/>
  <c r="X77" i="1" s="1"/>
  <c r="AC86" i="1"/>
  <c r="AG86" i="1" s="1"/>
  <c r="AF86" i="1" s="1"/>
  <c r="Q86" i="1"/>
  <c r="AA67" i="1"/>
  <c r="Z67" i="1"/>
  <c r="U67" i="1"/>
  <c r="T67" i="1" s="1"/>
  <c r="P67" i="1"/>
  <c r="E67" i="1"/>
  <c r="F67" i="1" s="1"/>
  <c r="AE67" i="1" s="1"/>
  <c r="AL143" i="1" l="1"/>
  <c r="AQ143" i="1"/>
  <c r="Q67" i="1"/>
  <c r="X67" i="1" s="1"/>
  <c r="X86" i="1"/>
  <c r="Z86" i="1"/>
  <c r="AC67" i="1"/>
  <c r="AG67" i="1" s="1"/>
  <c r="AF67" i="1" s="1"/>
  <c r="AA91" i="1"/>
  <c r="U91" i="1"/>
  <c r="T91" i="1" s="1"/>
  <c r="P91" i="1"/>
  <c r="E91" i="1"/>
  <c r="F91" i="1" s="1"/>
  <c r="AE91" i="1" s="1"/>
  <c r="O90" i="1"/>
  <c r="AA98" i="1"/>
  <c r="U98" i="1"/>
  <c r="T98" i="1" s="1"/>
  <c r="P98" i="1"/>
  <c r="E98" i="1"/>
  <c r="F98" i="1" s="1"/>
  <c r="AE98" i="1" s="1"/>
  <c r="AA90" i="1"/>
  <c r="Z90" i="1"/>
  <c r="U90" i="1"/>
  <c r="E90" i="1"/>
  <c r="F90" i="1" s="1"/>
  <c r="AE90" i="1" s="1"/>
  <c r="T90" i="1" l="1"/>
  <c r="AC90" i="1" s="1"/>
  <c r="AG90" i="1" s="1"/>
  <c r="AF90" i="1" s="1"/>
  <c r="P90" i="1"/>
  <c r="AK90" i="1"/>
  <c r="AK108" i="1" s="1"/>
  <c r="AK109" i="1" s="1"/>
  <c r="AP90" i="1"/>
  <c r="AP108" i="1" s="1"/>
  <c r="AP109" i="1" s="1"/>
  <c r="AC91" i="1"/>
  <c r="AG91" i="1" s="1"/>
  <c r="AF91" i="1" s="1"/>
  <c r="Q98" i="1"/>
  <c r="AC98" i="1"/>
  <c r="AG98" i="1" s="1"/>
  <c r="AF98" i="1" s="1"/>
  <c r="AA100" i="1"/>
  <c r="U100" i="1"/>
  <c r="T100" i="1" s="1"/>
  <c r="P100" i="1"/>
  <c r="E100" i="1"/>
  <c r="F100" i="1" s="1"/>
  <c r="AE100" i="1" s="1"/>
  <c r="Q90" i="1" l="1"/>
  <c r="X90" i="1" s="1"/>
  <c r="X98" i="1"/>
  <c r="Z98" i="1"/>
  <c r="X91" i="1"/>
  <c r="Z91" i="1"/>
  <c r="AC100" i="1"/>
  <c r="AG100" i="1" s="1"/>
  <c r="AF100" i="1" s="1"/>
  <c r="Q100" i="1"/>
  <c r="X100" i="1" l="1"/>
  <c r="Z100" i="1"/>
  <c r="AA92" i="1"/>
  <c r="U92" i="1"/>
  <c r="T92" i="1" s="1"/>
  <c r="P92" i="1"/>
  <c r="E92" i="1"/>
  <c r="F92" i="1" s="1"/>
  <c r="AE92" i="1" s="1"/>
  <c r="E96" i="1"/>
  <c r="F96" i="1" s="1"/>
  <c r="AE96" i="1" s="1"/>
  <c r="P96" i="1"/>
  <c r="Q96" i="1"/>
  <c r="U96" i="1"/>
  <c r="T96" i="1" s="1"/>
  <c r="Z96" i="1"/>
  <c r="AA96" i="1"/>
  <c r="AC92" i="1" l="1"/>
  <c r="AG92" i="1" s="1"/>
  <c r="AF92" i="1" s="1"/>
  <c r="AC96" i="1"/>
  <c r="AG96" i="1" s="1"/>
  <c r="AF96" i="1" s="1"/>
  <c r="X96" i="1"/>
  <c r="Q92" i="1"/>
  <c r="H110" i="1"/>
  <c r="AA110" i="1" s="1"/>
  <c r="AE137" i="1"/>
  <c r="AA137" i="1"/>
  <c r="Z137" i="1"/>
  <c r="U137" i="1"/>
  <c r="T137" i="1" s="1"/>
  <c r="Q137" i="1"/>
  <c r="P137" i="1"/>
  <c r="AE132" i="1"/>
  <c r="AA132" i="1"/>
  <c r="Z132" i="1"/>
  <c r="U132" i="1"/>
  <c r="T132" i="1" s="1"/>
  <c r="Q132" i="1"/>
  <c r="P132" i="1"/>
  <c r="AA126" i="1"/>
  <c r="Z126" i="1"/>
  <c r="U126" i="1"/>
  <c r="T126" i="1" s="1"/>
  <c r="Q126" i="1"/>
  <c r="P126" i="1"/>
  <c r="E126" i="1"/>
  <c r="F126" i="1" s="1"/>
  <c r="AE126" i="1" s="1"/>
  <c r="AA122" i="1"/>
  <c r="U122" i="1"/>
  <c r="T122" i="1" s="1"/>
  <c r="P122" i="1"/>
  <c r="E122" i="1"/>
  <c r="F122" i="1" s="1"/>
  <c r="AE122" i="1" s="1"/>
  <c r="AA120" i="1"/>
  <c r="U120" i="1"/>
  <c r="T120" i="1" s="1"/>
  <c r="P120" i="1"/>
  <c r="E120" i="1"/>
  <c r="F120" i="1" s="1"/>
  <c r="AE120" i="1" s="1"/>
  <c r="AE121" i="1"/>
  <c r="AA121" i="1"/>
  <c r="Z121" i="1"/>
  <c r="U121" i="1"/>
  <c r="T121" i="1" s="1"/>
  <c r="Q121" i="1"/>
  <c r="P121" i="1"/>
  <c r="AA117" i="1"/>
  <c r="Z117" i="1"/>
  <c r="U117" i="1"/>
  <c r="T117" i="1" s="1"/>
  <c r="Q117" i="1"/>
  <c r="P117" i="1"/>
  <c r="E117" i="1"/>
  <c r="F117" i="1" s="1"/>
  <c r="AE117" i="1" s="1"/>
  <c r="AA116" i="1"/>
  <c r="U116" i="1"/>
  <c r="T116" i="1" s="1"/>
  <c r="P116" i="1"/>
  <c r="E116" i="1"/>
  <c r="F116" i="1" s="1"/>
  <c r="AE116" i="1" s="1"/>
  <c r="AA115" i="1"/>
  <c r="Z115" i="1"/>
  <c r="U115" i="1"/>
  <c r="T115" i="1" s="1"/>
  <c r="Q115" i="1"/>
  <c r="P115" i="1"/>
  <c r="E115" i="1"/>
  <c r="F115" i="1" s="1"/>
  <c r="AE115" i="1" s="1"/>
  <c r="AE114" i="1"/>
  <c r="AA114" i="1"/>
  <c r="Z114" i="1"/>
  <c r="U114" i="1"/>
  <c r="T114" i="1" s="1"/>
  <c r="Q114" i="1"/>
  <c r="P114" i="1"/>
  <c r="E114" i="1"/>
  <c r="F114" i="1" s="1"/>
  <c r="AA113" i="1"/>
  <c r="U113" i="1"/>
  <c r="T113" i="1" s="1"/>
  <c r="P113" i="1"/>
  <c r="E113" i="1"/>
  <c r="F113" i="1" s="1"/>
  <c r="AE113" i="1" s="1"/>
  <c r="AA111" i="1"/>
  <c r="Z111" i="1"/>
  <c r="U111" i="1"/>
  <c r="T111" i="1" s="1"/>
  <c r="Q111" i="1"/>
  <c r="P111" i="1"/>
  <c r="E111" i="1"/>
  <c r="F111" i="1" s="1"/>
  <c r="AE111" i="1" s="1"/>
  <c r="Z110" i="1"/>
  <c r="U110" i="1"/>
  <c r="T110" i="1" s="1"/>
  <c r="Q110" i="1"/>
  <c r="P110" i="1"/>
  <c r="O142" i="1"/>
  <c r="U85" i="1"/>
  <c r="T85" i="1" s="1"/>
  <c r="AA85" i="1"/>
  <c r="E85" i="1"/>
  <c r="F85" i="1" s="1"/>
  <c r="AE85" i="1" s="1"/>
  <c r="P85" i="1"/>
  <c r="AA80" i="1"/>
  <c r="AC80" i="1" s="1"/>
  <c r="AE80" i="1"/>
  <c r="Z80" i="1"/>
  <c r="Q80" i="1"/>
  <c r="P80" i="1"/>
  <c r="U80" i="1"/>
  <c r="U81" i="1"/>
  <c r="AA81" i="1"/>
  <c r="AC81" i="1" s="1"/>
  <c r="E81" i="1"/>
  <c r="F81" i="1" s="1"/>
  <c r="AE81" i="1" s="1"/>
  <c r="P81" i="1"/>
  <c r="Q81" i="1" s="1"/>
  <c r="X81" i="1" s="1"/>
  <c r="AA82" i="1"/>
  <c r="P82" i="1"/>
  <c r="U82" i="1"/>
  <c r="T82" i="1" s="1"/>
  <c r="E82" i="1"/>
  <c r="F82" i="1" s="1"/>
  <c r="AE82" i="1" s="1"/>
  <c r="AA62" i="1"/>
  <c r="U62" i="1"/>
  <c r="T62" i="1" s="1"/>
  <c r="P62" i="1"/>
  <c r="E62" i="1"/>
  <c r="F62" i="1" s="1"/>
  <c r="AE62" i="1" s="1"/>
  <c r="E106" i="1"/>
  <c r="F106" i="1" s="1"/>
  <c r="AE106" i="1" s="1"/>
  <c r="AA106" i="1"/>
  <c r="Z106" i="1"/>
  <c r="U106" i="1"/>
  <c r="T106" i="1" s="1"/>
  <c r="Q106" i="1"/>
  <c r="P106" i="1"/>
  <c r="AA102" i="1"/>
  <c r="Z102" i="1"/>
  <c r="U102" i="1"/>
  <c r="T102" i="1" s="1"/>
  <c r="Q102" i="1"/>
  <c r="P102" i="1"/>
  <c r="E102" i="1"/>
  <c r="F102" i="1" s="1"/>
  <c r="AE102" i="1" s="1"/>
  <c r="AA89" i="1"/>
  <c r="U89" i="1"/>
  <c r="T89" i="1" s="1"/>
  <c r="P89" i="1"/>
  <c r="E89" i="1"/>
  <c r="F89" i="1" s="1"/>
  <c r="AE89" i="1" s="1"/>
  <c r="E52" i="1"/>
  <c r="F52" i="1" s="1"/>
  <c r="AE52" i="1"/>
  <c r="AA52" i="1"/>
  <c r="Z52" i="1"/>
  <c r="U52" i="1"/>
  <c r="T52" i="1" s="1"/>
  <c r="Q52" i="1"/>
  <c r="P52" i="1"/>
  <c r="AA68" i="1"/>
  <c r="U68" i="1"/>
  <c r="T68" i="1" s="1"/>
  <c r="P68" i="1"/>
  <c r="E68" i="1"/>
  <c r="F68" i="1" s="1"/>
  <c r="AE68" i="1" s="1"/>
  <c r="E69" i="1"/>
  <c r="F69" i="1" s="1"/>
  <c r="AE69" i="1" s="1"/>
  <c r="P69" i="1"/>
  <c r="U69" i="1"/>
  <c r="T69" i="1" s="1"/>
  <c r="AA69" i="1"/>
  <c r="AA79" i="1"/>
  <c r="U79" i="1"/>
  <c r="T79" i="1" s="1"/>
  <c r="P79" i="1"/>
  <c r="E79" i="1"/>
  <c r="F79" i="1" s="1"/>
  <c r="AE79" i="1" s="1"/>
  <c r="AA65" i="1"/>
  <c r="U65" i="1"/>
  <c r="T65" i="1" s="1"/>
  <c r="P65" i="1"/>
  <c r="E65" i="1"/>
  <c r="F65" i="1" s="1"/>
  <c r="AE65" i="1" s="1"/>
  <c r="P78" i="1"/>
  <c r="AA55" i="1"/>
  <c r="U55" i="1"/>
  <c r="T55" i="1" s="1"/>
  <c r="P55" i="1"/>
  <c r="E55" i="1"/>
  <c r="F55" i="1" s="1"/>
  <c r="AE55" i="1" s="1"/>
  <c r="U94" i="1"/>
  <c r="T94" i="1" s="1"/>
  <c r="P94" i="1"/>
  <c r="U47" i="1"/>
  <c r="T47" i="1" s="1"/>
  <c r="Q47" i="1"/>
  <c r="P47" i="1"/>
  <c r="U72" i="1"/>
  <c r="T72" i="1" s="1"/>
  <c r="Q72" i="1"/>
  <c r="P72" i="1"/>
  <c r="U71" i="1"/>
  <c r="T71" i="1" s="1"/>
  <c r="Q71" i="1"/>
  <c r="P71" i="1"/>
  <c r="U107" i="1"/>
  <c r="T107" i="1" s="1"/>
  <c r="Q107" i="1"/>
  <c r="P107" i="1"/>
  <c r="Z234" i="1"/>
  <c r="Z107" i="1"/>
  <c r="Z75" i="1"/>
  <c r="Z72" i="1"/>
  <c r="Z71" i="1"/>
  <c r="Z70" i="1"/>
  <c r="Z64" i="1"/>
  <c r="Z60" i="1"/>
  <c r="Z57" i="1"/>
  <c r="Z53" i="1"/>
  <c r="Z47" i="1"/>
  <c r="Z46" i="1"/>
  <c r="Z45" i="1"/>
  <c r="Z44" i="1"/>
  <c r="Z43" i="1"/>
  <c r="Z42" i="1"/>
  <c r="Z41" i="1"/>
  <c r="Z40" i="1"/>
  <c r="Z39" i="1"/>
  <c r="Z38" i="1"/>
  <c r="Z37" i="1"/>
  <c r="Z36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AA234" i="1"/>
  <c r="U234" i="1"/>
  <c r="T234" i="1" s="1"/>
  <c r="Q234" i="1"/>
  <c r="P234" i="1"/>
  <c r="E234" i="1"/>
  <c r="F234" i="1" s="1"/>
  <c r="AE234" i="1"/>
  <c r="U84" i="1"/>
  <c r="T84" i="1" s="1"/>
  <c r="U78" i="1"/>
  <c r="T78" i="1" s="1"/>
  <c r="U76" i="1"/>
  <c r="T76" i="1" s="1"/>
  <c r="U75" i="1"/>
  <c r="T75" i="1" s="1"/>
  <c r="U70" i="1"/>
  <c r="T70" i="1" s="1"/>
  <c r="U66" i="1"/>
  <c r="U64" i="1"/>
  <c r="T64" i="1" s="1"/>
  <c r="U63" i="1"/>
  <c r="U61" i="1"/>
  <c r="T61" i="1" s="1"/>
  <c r="U60" i="1"/>
  <c r="T60" i="1" s="1"/>
  <c r="U59" i="1"/>
  <c r="U58" i="1"/>
  <c r="U57" i="1"/>
  <c r="T57" i="1" s="1"/>
  <c r="U56" i="1"/>
  <c r="U54" i="1"/>
  <c r="T54" i="1" s="1"/>
  <c r="U53" i="1"/>
  <c r="T53" i="1" s="1"/>
  <c r="U51" i="1"/>
  <c r="U50" i="1"/>
  <c r="U49" i="1"/>
  <c r="U48" i="1"/>
  <c r="U46" i="1"/>
  <c r="T46" i="1" s="1"/>
  <c r="U45" i="1"/>
  <c r="U44" i="1"/>
  <c r="U43" i="1"/>
  <c r="T43" i="1" s="1"/>
  <c r="U42" i="1"/>
  <c r="T42" i="1" s="1"/>
  <c r="U41" i="1"/>
  <c r="T41" i="1" s="1"/>
  <c r="U40" i="1"/>
  <c r="T40" i="1" s="1"/>
  <c r="U39" i="1"/>
  <c r="U38" i="1"/>
  <c r="T38" i="1" s="1"/>
  <c r="U37" i="1"/>
  <c r="U36" i="1"/>
  <c r="T36" i="1" s="1"/>
  <c r="U33" i="1"/>
  <c r="T33" i="1" s="1"/>
  <c r="U32" i="1"/>
  <c r="U31" i="1"/>
  <c r="U30" i="1"/>
  <c r="U29" i="1"/>
  <c r="T29" i="1" s="1"/>
  <c r="U28" i="1"/>
  <c r="T28" i="1" s="1"/>
  <c r="U27" i="1"/>
  <c r="U26" i="1"/>
  <c r="U25" i="1"/>
  <c r="T25" i="1" s="1"/>
  <c r="U24" i="1"/>
  <c r="U23" i="1"/>
  <c r="U22" i="1"/>
  <c r="T22" i="1" s="1"/>
  <c r="U21" i="1"/>
  <c r="T21" i="1" s="1"/>
  <c r="U20" i="1"/>
  <c r="T20" i="1" s="1"/>
  <c r="U18" i="1"/>
  <c r="T18" i="1" s="1"/>
  <c r="U19" i="1"/>
  <c r="U17" i="1"/>
  <c r="T17" i="1" s="1"/>
  <c r="AA107" i="1"/>
  <c r="AA84" i="1"/>
  <c r="AA78" i="1"/>
  <c r="AC78" i="1" s="1"/>
  <c r="AA76" i="1"/>
  <c r="AC76" i="1" s="1"/>
  <c r="AA75" i="1"/>
  <c r="AC75" i="1" s="1"/>
  <c r="AE107" i="1"/>
  <c r="AA36" i="1"/>
  <c r="AC36" i="1" s="1"/>
  <c r="AG36" i="1" s="1"/>
  <c r="AA70" i="1"/>
  <c r="AC70" i="1" s="1"/>
  <c r="AA66" i="1"/>
  <c r="AC66" i="1" s="1"/>
  <c r="AA64" i="1"/>
  <c r="AC64" i="1" s="1"/>
  <c r="AA63" i="1"/>
  <c r="AC63" i="1" s="1"/>
  <c r="AA61" i="1"/>
  <c r="AC61" i="1" s="1"/>
  <c r="AA60" i="1"/>
  <c r="AC60" i="1" s="1"/>
  <c r="AA59" i="1"/>
  <c r="AC59" i="1" s="1"/>
  <c r="AA94" i="1"/>
  <c r="AA58" i="1"/>
  <c r="AA57" i="1"/>
  <c r="AA56" i="1"/>
  <c r="AC56" i="1" s="1"/>
  <c r="AA54" i="1"/>
  <c r="AA53" i="1"/>
  <c r="AC53" i="1" s="1"/>
  <c r="AA51" i="1"/>
  <c r="AC51" i="1" s="1"/>
  <c r="AA50" i="1"/>
  <c r="AA49" i="1"/>
  <c r="AC49" i="1" s="1"/>
  <c r="AA48" i="1"/>
  <c r="AA47" i="1"/>
  <c r="AA46" i="1"/>
  <c r="AA45" i="1"/>
  <c r="AC45" i="1" s="1"/>
  <c r="AA44" i="1"/>
  <c r="AA43" i="1"/>
  <c r="AC43" i="1" s="1"/>
  <c r="AA42" i="1"/>
  <c r="AA41" i="1"/>
  <c r="AC41" i="1" s="1"/>
  <c r="AA40" i="1"/>
  <c r="AC40" i="1" s="1"/>
  <c r="AA39" i="1"/>
  <c r="AC39" i="1" s="1"/>
  <c r="AA38" i="1"/>
  <c r="AA37" i="1"/>
  <c r="AC37" i="1" s="1"/>
  <c r="E31" i="1"/>
  <c r="E76" i="1"/>
  <c r="F76" i="1" s="1"/>
  <c r="AE76" i="1" s="1"/>
  <c r="P76" i="1"/>
  <c r="Q76" i="1" s="1"/>
  <c r="X76" i="1" s="1"/>
  <c r="E78" i="1"/>
  <c r="F78" i="1" s="1"/>
  <c r="AE78" i="1" s="1"/>
  <c r="P49" i="1"/>
  <c r="Q49" i="1" s="1"/>
  <c r="X49" i="1" s="1"/>
  <c r="E49" i="1"/>
  <c r="F49" i="1" s="1"/>
  <c r="AE49" i="1" s="1"/>
  <c r="P56" i="1"/>
  <c r="Q56" i="1" s="1"/>
  <c r="X56" i="1" s="1"/>
  <c r="E56" i="1"/>
  <c r="F56" i="1" s="1"/>
  <c r="AE56" i="1" s="1"/>
  <c r="Z56" i="1"/>
  <c r="Z49" i="1"/>
  <c r="O58" i="1"/>
  <c r="Q38" i="1"/>
  <c r="P38" i="1"/>
  <c r="E38" i="1"/>
  <c r="F38" i="1" s="1"/>
  <c r="AE38" i="1" s="1"/>
  <c r="Q64" i="1"/>
  <c r="P64" i="1"/>
  <c r="E64" i="1"/>
  <c r="F64" i="1" s="1"/>
  <c r="AE64" i="1" s="1"/>
  <c r="E40" i="1"/>
  <c r="F40" i="1" s="1"/>
  <c r="AE40" i="1" s="1"/>
  <c r="P40" i="1"/>
  <c r="Q40" i="1" s="1"/>
  <c r="X40" i="1" s="1"/>
  <c r="AC31" i="1"/>
  <c r="AG31" i="1" s="1"/>
  <c r="AF31" i="1" s="1"/>
  <c r="Q31" i="1"/>
  <c r="O50" i="1"/>
  <c r="P66" i="1"/>
  <c r="Q66" i="1" s="1"/>
  <c r="E66" i="1"/>
  <c r="F66" i="1" s="1"/>
  <c r="AE66" i="1" s="1"/>
  <c r="P63" i="1"/>
  <c r="Q63" i="1" s="1"/>
  <c r="E63" i="1"/>
  <c r="F63" i="1" s="1"/>
  <c r="AE63" i="1" s="1"/>
  <c r="P61" i="1"/>
  <c r="Q61" i="1" s="1"/>
  <c r="X61" i="1" s="1"/>
  <c r="Z61" i="1"/>
  <c r="E61" i="1"/>
  <c r="F61" i="1" s="1"/>
  <c r="AE61" i="1" s="1"/>
  <c r="E94" i="1"/>
  <c r="F94" i="1" s="1"/>
  <c r="AE94" i="1" s="1"/>
  <c r="E58" i="1"/>
  <c r="F58" i="1" s="1"/>
  <c r="AE58" i="1" s="1"/>
  <c r="AE57" i="1"/>
  <c r="P57" i="1"/>
  <c r="Q57" i="1"/>
  <c r="E57" i="1"/>
  <c r="F57" i="1" s="1"/>
  <c r="E50" i="1"/>
  <c r="F50" i="1" s="1"/>
  <c r="AE50" i="1" s="1"/>
  <c r="AE47" i="1"/>
  <c r="E47" i="1"/>
  <c r="F47" i="1" s="1"/>
  <c r="O46" i="1"/>
  <c r="Q37" i="1"/>
  <c r="Z58" i="1"/>
  <c r="P11" i="1"/>
  <c r="P10" i="1"/>
  <c r="P9" i="1"/>
  <c r="Z50" i="1"/>
  <c r="Q3" i="1"/>
  <c r="P3" i="1"/>
  <c r="P59" i="1"/>
  <c r="Q59" i="1" s="1"/>
  <c r="E59" i="1"/>
  <c r="F59" i="1" s="1"/>
  <c r="AE59" i="1" s="1"/>
  <c r="Q75" i="1"/>
  <c r="X75" i="1" s="1"/>
  <c r="E75" i="1"/>
  <c r="O54" i="1"/>
  <c r="E54" i="1"/>
  <c r="F54" i="1" s="1"/>
  <c r="AE54" i="1" s="1"/>
  <c r="E72" i="1"/>
  <c r="F72" i="1" s="1"/>
  <c r="E71" i="1"/>
  <c r="F71" i="1" s="1"/>
  <c r="AE72" i="1"/>
  <c r="AE71" i="1"/>
  <c r="AE20" i="1"/>
  <c r="E107" i="1"/>
  <c r="F107" i="1" s="1"/>
  <c r="E70" i="1"/>
  <c r="F70" i="1" s="1"/>
  <c r="AE70" i="1" s="1"/>
  <c r="E60" i="1"/>
  <c r="F60" i="1" s="1"/>
  <c r="AE60" i="1" s="1"/>
  <c r="E84" i="1"/>
  <c r="F84" i="1" s="1"/>
  <c r="AE84" i="1" s="1"/>
  <c r="E53" i="1"/>
  <c r="F53" i="1" s="1"/>
  <c r="AE53" i="1" s="1"/>
  <c r="E51" i="1"/>
  <c r="F51" i="1" s="1"/>
  <c r="AE51" i="1" s="1"/>
  <c r="E48" i="1"/>
  <c r="F48" i="1" s="1"/>
  <c r="AE48" i="1" s="1"/>
  <c r="E46" i="1"/>
  <c r="F46" i="1" s="1"/>
  <c r="AE46" i="1" s="1"/>
  <c r="E45" i="1"/>
  <c r="F45" i="1" s="1"/>
  <c r="AE45" i="1" s="1"/>
  <c r="E44" i="1"/>
  <c r="F44" i="1" s="1"/>
  <c r="AE44" i="1" s="1"/>
  <c r="E43" i="1"/>
  <c r="F43" i="1" s="1"/>
  <c r="AE43" i="1" s="1"/>
  <c r="E42" i="1"/>
  <c r="F42" i="1" s="1"/>
  <c r="AE42" i="1" s="1"/>
  <c r="E41" i="1"/>
  <c r="F41" i="1" s="1"/>
  <c r="AE41" i="1" s="1"/>
  <c r="E39" i="1"/>
  <c r="F39" i="1" s="1"/>
  <c r="AE39" i="1" s="1"/>
  <c r="E37" i="1"/>
  <c r="F37" i="1" s="1"/>
  <c r="AE37" i="1" s="1"/>
  <c r="E36" i="1"/>
  <c r="E35" i="1"/>
  <c r="E33" i="1"/>
  <c r="F33" i="1" s="1"/>
  <c r="AE33" i="1" s="1"/>
  <c r="E32" i="1"/>
  <c r="F32" i="1" s="1"/>
  <c r="AE32" i="1" s="1"/>
  <c r="E30" i="1"/>
  <c r="F30" i="1" s="1"/>
  <c r="AE30" i="1" s="1"/>
  <c r="E29" i="1"/>
  <c r="F29" i="1" s="1"/>
  <c r="AE29" i="1" s="1"/>
  <c r="E28" i="1"/>
  <c r="F28" i="1" s="1"/>
  <c r="AE28" i="1" s="1"/>
  <c r="E27" i="1"/>
  <c r="F27" i="1" s="1"/>
  <c r="AE27" i="1" s="1"/>
  <c r="E26" i="1"/>
  <c r="F26" i="1" s="1"/>
  <c r="AE26" i="1" s="1"/>
  <c r="E25" i="1"/>
  <c r="F25" i="1" s="1"/>
  <c r="AE25" i="1" s="1"/>
  <c r="E24" i="1"/>
  <c r="F24" i="1" s="1"/>
  <c r="AE24" i="1" s="1"/>
  <c r="E23" i="1"/>
  <c r="F23" i="1" s="1"/>
  <c r="AE23" i="1" s="1"/>
  <c r="E22" i="1"/>
  <c r="F22" i="1" s="1"/>
  <c r="AE22" i="1" s="1"/>
  <c r="E21" i="1"/>
  <c r="F21" i="1" s="1"/>
  <c r="AE21" i="1" s="1"/>
  <c r="E20" i="1"/>
  <c r="F20" i="1" s="1"/>
  <c r="E19" i="1"/>
  <c r="F19" i="1" s="1"/>
  <c r="AE19" i="1" s="1"/>
  <c r="E18" i="1"/>
  <c r="E17" i="1"/>
  <c r="AD223" i="1"/>
  <c r="AA72" i="1"/>
  <c r="AA71" i="1"/>
  <c r="Q70" i="1"/>
  <c r="X70" i="1" s="1"/>
  <c r="Q60" i="1"/>
  <c r="X60" i="1" s="1"/>
  <c r="Q53" i="1"/>
  <c r="X53" i="1" s="1"/>
  <c r="Q32" i="1"/>
  <c r="X32" i="1" s="1"/>
  <c r="AC29" i="1"/>
  <c r="AC28" i="1"/>
  <c r="AA17" i="1"/>
  <c r="Z54" i="1"/>
  <c r="AC32" i="1"/>
  <c r="X43" i="1"/>
  <c r="X36" i="1"/>
  <c r="X33" i="1"/>
  <c r="X29" i="1"/>
  <c r="X28" i="1"/>
  <c r="AC27" i="1"/>
  <c r="Q27" i="1"/>
  <c r="X27" i="1" s="1"/>
  <c r="P51" i="1"/>
  <c r="Q51" i="1" s="1"/>
  <c r="P45" i="1"/>
  <c r="Q45" i="1" s="1"/>
  <c r="Z51" i="1"/>
  <c r="O44" i="1"/>
  <c r="N11" i="1"/>
  <c r="N10" i="1"/>
  <c r="N9" i="1"/>
  <c r="O4" i="1"/>
  <c r="P4" i="1" s="1"/>
  <c r="P22" i="1"/>
  <c r="Q22" i="1" s="1"/>
  <c r="X22" i="1" s="1"/>
  <c r="P39" i="1"/>
  <c r="X39" i="1" s="1"/>
  <c r="AC33" i="1"/>
  <c r="P23" i="1"/>
  <c r="O23" i="1"/>
  <c r="O42" i="1"/>
  <c r="O48" i="1"/>
  <c r="AC25" i="1"/>
  <c r="AC30" i="1"/>
  <c r="AC26" i="1"/>
  <c r="AC24" i="1"/>
  <c r="AC22" i="1"/>
  <c r="AC21" i="1"/>
  <c r="AC20" i="1"/>
  <c r="AC19" i="1"/>
  <c r="AC18" i="1"/>
  <c r="X41" i="1"/>
  <c r="Q30" i="1"/>
  <c r="X30" i="1" s="1"/>
  <c r="Q26" i="1"/>
  <c r="X26" i="1" s="1"/>
  <c r="Q25" i="1"/>
  <c r="X25" i="1" s="1"/>
  <c r="Q24" i="1"/>
  <c r="X24" i="1" s="1"/>
  <c r="Q21" i="1"/>
  <c r="X21" i="1" s="1"/>
  <c r="Q20" i="1"/>
  <c r="Q19" i="1"/>
  <c r="Q18" i="1"/>
  <c r="X18" i="1" s="1"/>
  <c r="Q17" i="1"/>
  <c r="X17" i="1" s="1"/>
  <c r="Z48" i="1"/>
  <c r="AI116" i="1" l="1"/>
  <c r="AN116" i="1"/>
  <c r="AJ122" i="1"/>
  <c r="AO122" i="1"/>
  <c r="F36" i="1"/>
  <c r="AE36" i="1" s="1"/>
  <c r="AE73" i="1" s="1"/>
  <c r="D73" i="1"/>
  <c r="F17" i="1"/>
  <c r="AE17" i="1" s="1"/>
  <c r="D34" i="1"/>
  <c r="F75" i="1"/>
  <c r="AE75" i="1" s="1"/>
  <c r="AE108" i="1" s="1"/>
  <c r="D108" i="1"/>
  <c r="AJ116" i="1"/>
  <c r="AO116" i="1"/>
  <c r="AJ120" i="1"/>
  <c r="AO120" i="1"/>
  <c r="AK122" i="1"/>
  <c r="AK142" i="1" s="1"/>
  <c r="AK143" i="1" s="1"/>
  <c r="AP122" i="1"/>
  <c r="AP142" i="1" s="1"/>
  <c r="AP143" i="1" s="1"/>
  <c r="AN113" i="1"/>
  <c r="AI113" i="1"/>
  <c r="Q122" i="1"/>
  <c r="Z122" i="1" s="1"/>
  <c r="AA34" i="1"/>
  <c r="AB34" i="1" s="1"/>
  <c r="Q94" i="1"/>
  <c r="Z94" i="1" s="1"/>
  <c r="E110" i="1"/>
  <c r="H227" i="1" s="1"/>
  <c r="Q113" i="1"/>
  <c r="T19" i="1"/>
  <c r="Q116" i="1"/>
  <c r="Z116" i="1" s="1"/>
  <c r="AP54" i="1"/>
  <c r="AK54" i="1"/>
  <c r="AK58" i="1"/>
  <c r="AP58" i="1"/>
  <c r="O34" i="1"/>
  <c r="AP23" i="1"/>
  <c r="AP34" i="1" s="1"/>
  <c r="AK23" i="1"/>
  <c r="AK34" i="1" s="1"/>
  <c r="P44" i="1"/>
  <c r="Q44" i="1" s="1"/>
  <c r="X44" i="1" s="1"/>
  <c r="AO44" i="1"/>
  <c r="AJ44" i="1"/>
  <c r="Q46" i="1"/>
  <c r="X46" i="1" s="1"/>
  <c r="AO46" i="1"/>
  <c r="AJ46" i="1"/>
  <c r="X84" i="1"/>
  <c r="AO84" i="1"/>
  <c r="AO108" i="1" s="1"/>
  <c r="AJ84" i="1"/>
  <c r="AJ108" i="1" s="1"/>
  <c r="AO48" i="1"/>
  <c r="AJ48" i="1"/>
  <c r="P42" i="1"/>
  <c r="Q42" i="1" s="1"/>
  <c r="X42" i="1" s="1"/>
  <c r="AN42" i="1"/>
  <c r="AN73" i="1" s="1"/>
  <c r="AI42" i="1"/>
  <c r="AI73" i="1" s="1"/>
  <c r="P50" i="1"/>
  <c r="Q50" i="1" s="1"/>
  <c r="T50" i="1" s="1"/>
  <c r="AO50" i="1"/>
  <c r="AJ50" i="1"/>
  <c r="X47" i="1"/>
  <c r="AC71" i="1"/>
  <c r="AG71" i="1" s="1"/>
  <c r="AF71" i="1" s="1"/>
  <c r="AG59" i="1"/>
  <c r="AF59" i="1" s="1"/>
  <c r="AC57" i="1"/>
  <c r="AG57" i="1" s="1"/>
  <c r="AF57" i="1" s="1"/>
  <c r="AC84" i="1"/>
  <c r="AG84" i="1" s="1"/>
  <c r="AF84" i="1" s="1"/>
  <c r="O108" i="1"/>
  <c r="AG20" i="1"/>
  <c r="AF20" i="1" s="1"/>
  <c r="X71" i="1"/>
  <c r="AC115" i="1"/>
  <c r="AG115" i="1" s="1"/>
  <c r="AF115" i="1" s="1"/>
  <c r="AC48" i="1"/>
  <c r="AG48" i="1" s="1"/>
  <c r="AF48" i="1" s="1"/>
  <c r="T66" i="1"/>
  <c r="T31" i="1"/>
  <c r="AG56" i="1"/>
  <c r="AF56" i="1" s="1"/>
  <c r="AC234" i="1"/>
  <c r="AG234" i="1" s="1"/>
  <c r="AF234" i="1" s="1"/>
  <c r="Z34" i="1"/>
  <c r="Q34" i="1" s="1"/>
  <c r="AC126" i="1"/>
  <c r="AG126" i="1" s="1"/>
  <c r="AF126" i="1" s="1"/>
  <c r="T56" i="1"/>
  <c r="X111" i="1"/>
  <c r="AC50" i="1"/>
  <c r="AG50" i="1" s="1"/>
  <c r="AF50" i="1" s="1"/>
  <c r="T39" i="1"/>
  <c r="Q23" i="1"/>
  <c r="T23" i="1" s="1"/>
  <c r="T24" i="1"/>
  <c r="AC23" i="1"/>
  <c r="AG23" i="1" s="1"/>
  <c r="AF23" i="1" s="1"/>
  <c r="AG37" i="1"/>
  <c r="AF37" i="1" s="1"/>
  <c r="AC102" i="1"/>
  <c r="AG102" i="1" s="1"/>
  <c r="AF102" i="1" s="1"/>
  <c r="AG66" i="1"/>
  <c r="AF66" i="1" s="1"/>
  <c r="AC82" i="1"/>
  <c r="AG82" i="1" s="1"/>
  <c r="AF82" i="1" s="1"/>
  <c r="Z81" i="1"/>
  <c r="AC117" i="1"/>
  <c r="AG117" i="1" s="1"/>
  <c r="AF117" i="1" s="1"/>
  <c r="AC120" i="1"/>
  <c r="AG120" i="1" s="1"/>
  <c r="AF120" i="1" s="1"/>
  <c r="AG41" i="1"/>
  <c r="AF41" i="1" s="1"/>
  <c r="T30" i="1"/>
  <c r="Q48" i="1"/>
  <c r="X48" i="1" s="1"/>
  <c r="O73" i="1"/>
  <c r="AG43" i="1"/>
  <c r="AF43" i="1" s="1"/>
  <c r="AC54" i="1"/>
  <c r="AG54" i="1" s="1"/>
  <c r="AF54" i="1" s="1"/>
  <c r="AG61" i="1"/>
  <c r="AF61" i="1" s="1"/>
  <c r="AG63" i="1"/>
  <c r="AF63" i="1" s="1"/>
  <c r="Z76" i="1"/>
  <c r="AG80" i="1"/>
  <c r="AF80" i="1" s="1"/>
  <c r="AC85" i="1"/>
  <c r="AG85" i="1" s="1"/>
  <c r="AF85" i="1" s="1"/>
  <c r="AC17" i="1"/>
  <c r="AC47" i="1"/>
  <c r="AG47" i="1" s="1"/>
  <c r="AF47" i="1" s="1"/>
  <c r="Q78" i="1"/>
  <c r="Z78" i="1" s="1"/>
  <c r="AC106" i="1"/>
  <c r="AG106" i="1" s="1"/>
  <c r="AF106" i="1" s="1"/>
  <c r="AC110" i="1"/>
  <c r="AC114" i="1"/>
  <c r="AG114" i="1" s="1"/>
  <c r="AF114" i="1" s="1"/>
  <c r="AC121" i="1"/>
  <c r="AG121" i="1" s="1"/>
  <c r="AF121" i="1" s="1"/>
  <c r="AC122" i="1"/>
  <c r="AG122" i="1" s="1"/>
  <c r="AF122" i="1" s="1"/>
  <c r="AC137" i="1"/>
  <c r="AG137" i="1" s="1"/>
  <c r="AF137" i="1" s="1"/>
  <c r="X19" i="1"/>
  <c r="AG21" i="1"/>
  <c r="AF21" i="1" s="1"/>
  <c r="AG25" i="1"/>
  <c r="AF25" i="1" s="1"/>
  <c r="AG49" i="1"/>
  <c r="AF49" i="1" s="1"/>
  <c r="AC52" i="1"/>
  <c r="AG52" i="1" s="1"/>
  <c r="AF52" i="1" s="1"/>
  <c r="AC113" i="1"/>
  <c r="AG113" i="1" s="1"/>
  <c r="AF113" i="1" s="1"/>
  <c r="AC116" i="1"/>
  <c r="AG116" i="1" s="1"/>
  <c r="AF116" i="1" s="1"/>
  <c r="X117" i="1"/>
  <c r="AC132" i="1"/>
  <c r="AG132" i="1" s="1"/>
  <c r="AF132" i="1" s="1"/>
  <c r="X92" i="1"/>
  <c r="Z92" i="1"/>
  <c r="AC55" i="1"/>
  <c r="AG55" i="1" s="1"/>
  <c r="AF55" i="1" s="1"/>
  <c r="AC69" i="1"/>
  <c r="AG69" i="1" s="1"/>
  <c r="AF69" i="1" s="1"/>
  <c r="X80" i="1"/>
  <c r="Q120" i="1"/>
  <c r="Z120" i="1" s="1"/>
  <c r="T27" i="1"/>
  <c r="AG27" i="1"/>
  <c r="AF27" i="1" s="1"/>
  <c r="H73" i="1"/>
  <c r="J73" i="1" s="1"/>
  <c r="AG26" i="1"/>
  <c r="AF26" i="1" s="1"/>
  <c r="X57" i="1"/>
  <c r="X64" i="1"/>
  <c r="X234" i="1"/>
  <c r="X107" i="1"/>
  <c r="X72" i="1"/>
  <c r="AC79" i="1"/>
  <c r="AG79" i="1" s="1"/>
  <c r="AF79" i="1" s="1"/>
  <c r="Q68" i="1"/>
  <c r="X68" i="1" s="1"/>
  <c r="X52" i="1"/>
  <c r="X106" i="1"/>
  <c r="X110" i="1"/>
  <c r="X114" i="1"/>
  <c r="X115" i="1"/>
  <c r="X121" i="1"/>
  <c r="X126" i="1"/>
  <c r="X132" i="1"/>
  <c r="X137" i="1"/>
  <c r="AC111" i="1"/>
  <c r="AG111" i="1" s="1"/>
  <c r="AF111" i="1" s="1"/>
  <c r="AA142" i="1"/>
  <c r="AB142" i="1" s="1"/>
  <c r="AG39" i="1"/>
  <c r="AF39" i="1" s="1"/>
  <c r="AG22" i="1"/>
  <c r="AF22" i="1" s="1"/>
  <c r="AG32" i="1"/>
  <c r="AF32" i="1" s="1"/>
  <c r="AG45" i="1"/>
  <c r="AF45" i="1" s="1"/>
  <c r="AC94" i="1"/>
  <c r="AG94" i="1" s="1"/>
  <c r="AF94" i="1" s="1"/>
  <c r="AC44" i="1"/>
  <c r="AG44" i="1" s="1"/>
  <c r="AF44" i="1" s="1"/>
  <c r="AG33" i="1"/>
  <c r="AF33" i="1" s="1"/>
  <c r="AG53" i="1"/>
  <c r="AF53" i="1" s="1"/>
  <c r="Z66" i="1"/>
  <c r="X38" i="1"/>
  <c r="AC42" i="1"/>
  <c r="AG42" i="1" s="1"/>
  <c r="AF42" i="1" s="1"/>
  <c r="AC46" i="1"/>
  <c r="AG46" i="1" s="1"/>
  <c r="AF46" i="1" s="1"/>
  <c r="X45" i="1"/>
  <c r="T45" i="1"/>
  <c r="F18" i="1"/>
  <c r="AE18" i="1" s="1"/>
  <c r="AG18" i="1" s="1"/>
  <c r="AF18" i="1" s="1"/>
  <c r="H34" i="1"/>
  <c r="AG70" i="1"/>
  <c r="AF70" i="1" s="1"/>
  <c r="P54" i="1"/>
  <c r="Q54" i="1" s="1"/>
  <c r="X54" i="1" s="1"/>
  <c r="X31" i="1"/>
  <c r="AC107" i="1"/>
  <c r="AG107" i="1" s="1"/>
  <c r="AF107" i="1" s="1"/>
  <c r="AC72" i="1"/>
  <c r="AG72" i="1" s="1"/>
  <c r="AF72" i="1" s="1"/>
  <c r="Q89" i="1"/>
  <c r="Z89" i="1" s="1"/>
  <c r="AC89" i="1"/>
  <c r="AG89" i="1" s="1"/>
  <c r="AF89" i="1" s="1"/>
  <c r="AG19" i="1"/>
  <c r="AF19" i="1" s="1"/>
  <c r="Q10" i="1"/>
  <c r="Q9" i="1"/>
  <c r="L9" i="1" s="1"/>
  <c r="T37" i="1"/>
  <c r="X37" i="1"/>
  <c r="T63" i="1"/>
  <c r="Z63" i="1"/>
  <c r="X63" i="1"/>
  <c r="H108" i="1"/>
  <c r="P58" i="1"/>
  <c r="Q58" i="1" s="1"/>
  <c r="X58" i="1" s="1"/>
  <c r="AC58" i="1"/>
  <c r="AG58" i="1" s="1"/>
  <c r="AF58" i="1" s="1"/>
  <c r="AC38" i="1"/>
  <c r="AG38" i="1" s="1"/>
  <c r="AF38" i="1" s="1"/>
  <c r="AA73" i="1"/>
  <c r="AB73" i="1" s="1"/>
  <c r="T32" i="1"/>
  <c r="Q79" i="1"/>
  <c r="T26" i="1"/>
  <c r="AG24" i="1"/>
  <c r="AF24" i="1" s="1"/>
  <c r="AG30" i="1"/>
  <c r="AF30" i="1" s="1"/>
  <c r="AG28" i="1"/>
  <c r="AF28" i="1" s="1"/>
  <c r="AG29" i="1"/>
  <c r="AF29" i="1" s="1"/>
  <c r="AG40" i="1"/>
  <c r="AF40" i="1" s="1"/>
  <c r="AG78" i="1"/>
  <c r="AF78" i="1" s="1"/>
  <c r="AA108" i="1"/>
  <c r="AB108" i="1" s="1"/>
  <c r="Q55" i="1"/>
  <c r="AC68" i="1"/>
  <c r="AG68" i="1" s="1"/>
  <c r="AF68" i="1" s="1"/>
  <c r="Q69" i="1"/>
  <c r="Z69" i="1" s="1"/>
  <c r="X102" i="1"/>
  <c r="Q82" i="1"/>
  <c r="Z82" i="1" s="1"/>
  <c r="AG51" i="1"/>
  <c r="AF51" i="1" s="1"/>
  <c r="AG60" i="1"/>
  <c r="AF60" i="1" s="1"/>
  <c r="AG76" i="1"/>
  <c r="AF36" i="1"/>
  <c r="X51" i="1"/>
  <c r="T51" i="1"/>
  <c r="Z59" i="1"/>
  <c r="X59" i="1"/>
  <c r="T59" i="1"/>
  <c r="AG64" i="1"/>
  <c r="AF64" i="1" s="1"/>
  <c r="Q11" i="1"/>
  <c r="X66" i="1"/>
  <c r="T49" i="1"/>
  <c r="AG81" i="1"/>
  <c r="AF81" i="1" s="1"/>
  <c r="Q85" i="1"/>
  <c r="Q65" i="1"/>
  <c r="AC65" i="1"/>
  <c r="AG65" i="1" s="1"/>
  <c r="AF65" i="1" s="1"/>
  <c r="Q62" i="1"/>
  <c r="AC62" i="1"/>
  <c r="R10" i="1" l="1"/>
  <c r="L10" i="1"/>
  <c r="J34" i="1"/>
  <c r="AG17" i="1"/>
  <c r="AG34" i="1" s="1"/>
  <c r="AH34" i="1" s="1"/>
  <c r="AI142" i="1"/>
  <c r="AI143" i="1" s="1"/>
  <c r="AG75" i="1"/>
  <c r="AF75" i="1" s="1"/>
  <c r="AN142" i="1"/>
  <c r="AN143" i="1" s="1"/>
  <c r="F110" i="1"/>
  <c r="AE110" i="1" s="1"/>
  <c r="AE142" i="1" s="1"/>
  <c r="D142" i="1"/>
  <c r="X122" i="1"/>
  <c r="AO142" i="1"/>
  <c r="AJ142" i="1"/>
  <c r="AJ143" i="1" s="1"/>
  <c r="AA223" i="1"/>
  <c r="T44" i="1"/>
  <c r="X113" i="1"/>
  <c r="Z113" i="1"/>
  <c r="Z142" i="1" s="1"/>
  <c r="Y142" i="1" s="1"/>
  <c r="X94" i="1"/>
  <c r="X116" i="1"/>
  <c r="H228" i="1"/>
  <c r="H142" i="1"/>
  <c r="J142" i="1" s="1"/>
  <c r="Z84" i="1"/>
  <c r="X50" i="1"/>
  <c r="AE34" i="1"/>
  <c r="X23" i="1"/>
  <c r="AK73" i="1"/>
  <c r="AK74" i="1" s="1"/>
  <c r="AO109" i="1"/>
  <c r="AR108" i="1"/>
  <c r="AK35" i="1"/>
  <c r="AM35" i="1" s="1"/>
  <c r="AM34" i="1"/>
  <c r="AI74" i="1"/>
  <c r="AO73" i="1"/>
  <c r="AO74" i="1" s="1"/>
  <c r="AJ73" i="1"/>
  <c r="AJ74" i="1" s="1"/>
  <c r="AP35" i="1"/>
  <c r="AR35" i="1" s="1"/>
  <c r="AR34" i="1"/>
  <c r="AN74" i="1"/>
  <c r="AJ109" i="1"/>
  <c r="AM109" i="1" s="1"/>
  <c r="AM108" i="1"/>
  <c r="AP73" i="1"/>
  <c r="AP74" i="1" s="1"/>
  <c r="Y34" i="1"/>
  <c r="O223" i="1"/>
  <c r="X120" i="1"/>
  <c r="X89" i="1"/>
  <c r="X78" i="1"/>
  <c r="X82" i="1"/>
  <c r="T58" i="1"/>
  <c r="Z68" i="1"/>
  <c r="T48" i="1"/>
  <c r="J108" i="1"/>
  <c r="X69" i="1"/>
  <c r="X62" i="1"/>
  <c r="Z62" i="1"/>
  <c r="V10" i="1"/>
  <c r="AD10" i="1" s="1"/>
  <c r="AE10" i="1" s="1"/>
  <c r="AC223" i="1"/>
  <c r="Z55" i="1"/>
  <c r="X55" i="1"/>
  <c r="Z79" i="1"/>
  <c r="X79" i="1"/>
  <c r="R9" i="1"/>
  <c r="U9" i="1" s="1"/>
  <c r="AG62" i="1"/>
  <c r="AF62" i="1" s="1"/>
  <c r="AF73" i="1" s="1"/>
  <c r="M73" i="1" s="1"/>
  <c r="X65" i="1"/>
  <c r="Z65" i="1"/>
  <c r="X85" i="1"/>
  <c r="Z85" i="1"/>
  <c r="L11" i="1"/>
  <c r="V11" i="1" s="1"/>
  <c r="AD11" i="1" s="1"/>
  <c r="AE11" i="1" s="1"/>
  <c r="R11" i="1"/>
  <c r="U11" i="1" s="1"/>
  <c r="W11" i="1" s="1"/>
  <c r="AF76" i="1"/>
  <c r="U10" i="1" l="1"/>
  <c r="W10" i="1" s="1"/>
  <c r="X10" i="1" s="1"/>
  <c r="AA10" i="1" s="1"/>
  <c r="AC10" i="1" s="1"/>
  <c r="H223" i="1"/>
  <c r="H225" i="1" s="1"/>
  <c r="H231" i="1" s="1"/>
  <c r="AF17" i="1"/>
  <c r="AF34" i="1" s="1"/>
  <c r="M34" i="1" s="1"/>
  <c r="AG108" i="1"/>
  <c r="AH108" i="1" s="1"/>
  <c r="AF108" i="1"/>
  <c r="M108" i="1" s="1"/>
  <c r="AR142" i="1"/>
  <c r="AG110" i="1"/>
  <c r="AF110" i="1" s="1"/>
  <c r="AF142" i="1" s="1"/>
  <c r="M142" i="1" s="1"/>
  <c r="V9" i="1"/>
  <c r="AD9" i="1" s="1"/>
  <c r="AE9" i="1" s="1"/>
  <c r="AE223" i="1"/>
  <c r="AM143" i="1"/>
  <c r="AM142" i="1"/>
  <c r="Q142" i="1"/>
  <c r="W9" i="1"/>
  <c r="X9" i="1" s="1"/>
  <c r="AA9" i="1" s="1"/>
  <c r="AR73" i="1"/>
  <c r="AR74" i="1"/>
  <c r="AM73" i="1"/>
  <c r="AM74" i="1"/>
  <c r="AO143" i="1"/>
  <c r="AR143" i="1" s="1"/>
  <c r="AR109" i="1"/>
  <c r="Z108" i="1"/>
  <c r="Y108" i="1" s="1"/>
  <c r="Z73" i="1"/>
  <c r="X11" i="1"/>
  <c r="AA11" i="1" s="1"/>
  <c r="U12" i="1"/>
  <c r="AG73" i="1"/>
  <c r="AH73" i="1" s="1"/>
  <c r="AG142" i="1" l="1"/>
  <c r="AH142" i="1" s="1"/>
  <c r="AG223" i="1" s="1"/>
  <c r="H232" i="1" s="1"/>
  <c r="H230" i="1"/>
  <c r="AC9" i="1"/>
  <c r="Q73" i="1"/>
  <c r="Y73" i="1"/>
  <c r="Z223" i="1" s="1"/>
  <c r="Q108" i="1"/>
  <c r="AC11" i="1"/>
  <c r="Q223" i="1" l="1"/>
</calcChain>
</file>

<file path=xl/sharedStrings.xml><?xml version="1.0" encoding="utf-8"?>
<sst xmlns="http://schemas.openxmlformats.org/spreadsheetml/2006/main" count="1595" uniqueCount="731">
  <si>
    <t>TAX</t>
  </si>
  <si>
    <t xml:space="preserve">PER </t>
  </si>
  <si>
    <t>NIGH</t>
  </si>
  <si>
    <t>MONTH</t>
  </si>
  <si>
    <t>EXTRA</t>
  </si>
  <si>
    <t xml:space="preserve"> NIGHTS</t>
  </si>
  <si>
    <t xml:space="preserve"> PEOPLE</t>
  </si>
  <si>
    <t>TOTAL</t>
  </si>
  <si>
    <t xml:space="preserve"> BIKES</t>
  </si>
  <si>
    <t>POOL</t>
  </si>
  <si>
    <t>CLEAN</t>
  </si>
  <si>
    <t>BIKES</t>
  </si>
  <si>
    <t>PEOPLE</t>
  </si>
  <si>
    <t xml:space="preserve"> TAX</t>
  </si>
  <si>
    <t>July 1 to August 31</t>
  </si>
  <si>
    <t xml:space="preserve"> HEAT THE POOL 1=Y 0=N</t>
  </si>
  <si>
    <t>PAYPAL</t>
  </si>
  <si>
    <t>TOTAL INC</t>
  </si>
  <si>
    <t>NAME</t>
  </si>
  <si>
    <t>SITE</t>
  </si>
  <si>
    <t>DATES</t>
  </si>
  <si>
    <t>People</t>
  </si>
  <si>
    <t>RENT</t>
  </si>
  <si>
    <t>DEPOSIT</t>
  </si>
  <si>
    <t>BALANCE</t>
  </si>
  <si>
    <t>DUE</t>
  </si>
  <si>
    <t>A/D/F1/B/F2/T</t>
  </si>
  <si>
    <t>NET</t>
  </si>
  <si>
    <t>REPAIRS</t>
  </si>
  <si>
    <t>GREET</t>
  </si>
  <si>
    <t>NET NET</t>
  </si>
  <si>
    <t>HR</t>
  </si>
  <si>
    <t>19 Jun to 3 Jul</t>
  </si>
  <si>
    <t>5  inc 3 children 10,10 and 16</t>
  </si>
  <si>
    <r>
      <t xml:space="preserve">Clean </t>
    </r>
    <r>
      <rPr>
        <sz val="10"/>
        <color indexed="10"/>
        <rFont val="Verdana"/>
        <family val="2"/>
      </rPr>
      <t xml:space="preserve">ENTRY &amp; Exit </t>
    </r>
  </si>
  <si>
    <t>Now</t>
  </si>
  <si>
    <t>8 inc 2 children</t>
  </si>
  <si>
    <r>
      <t xml:space="preserve">Clean </t>
    </r>
    <r>
      <rPr>
        <sz val="10"/>
        <color indexed="10"/>
        <rFont val="Verdana"/>
        <family val="2"/>
      </rPr>
      <t>Exit ONLY</t>
    </r>
  </si>
  <si>
    <t>EMAIL</t>
  </si>
  <si>
    <t>Justin List</t>
  </si>
  <si>
    <t>28 July to 4 August</t>
  </si>
  <si>
    <t>4 Inc 2 children</t>
  </si>
  <si>
    <t>little_redhouse @ hotmail.com</t>
  </si>
  <si>
    <t>NA</t>
  </si>
  <si>
    <t xml:space="preserve"> Feb 25-11</t>
  </si>
  <si>
    <t>Dos Santos (no meet and greet)</t>
  </si>
  <si>
    <t>dagfinnh@gmail.com</t>
  </si>
  <si>
    <t>justinlist@me.com</t>
  </si>
  <si>
    <t>John Brezovsky</t>
  </si>
  <si>
    <t>johnnobonno@aol.com</t>
  </si>
  <si>
    <t>8 oct 15 oct</t>
  </si>
  <si>
    <t>j_helweg@hotmail.com</t>
  </si>
  <si>
    <t>Julie Helweg</t>
  </si>
  <si>
    <t>Heat</t>
  </si>
  <si>
    <t>Bikes</t>
  </si>
  <si>
    <t>Pool</t>
  </si>
  <si>
    <t>Y</t>
  </si>
  <si>
    <t>A/D/F1</t>
  </si>
  <si>
    <t>N</t>
  </si>
  <si>
    <t>Dagfinn Haakonsen</t>
  </si>
  <si>
    <t>Paul  Ward</t>
  </si>
  <si>
    <t>pgkward@gmail.com</t>
  </si>
  <si>
    <t>OD</t>
  </si>
  <si>
    <t>9 august to 22 August</t>
  </si>
  <si>
    <t>3 inc 1 child</t>
  </si>
  <si>
    <t>9 inc 4 children</t>
  </si>
  <si>
    <t>alijg76@yahoo.co.uk</t>
  </si>
  <si>
    <t>Apr 10-11</t>
  </si>
  <si>
    <t>Jul 5-10</t>
  </si>
  <si>
    <t>Nick Fister</t>
  </si>
  <si>
    <t>jnfister@yahoo.com</t>
  </si>
  <si>
    <t>Feb 01-11</t>
  </si>
  <si>
    <t>Linda Lyucett</t>
  </si>
  <si>
    <t>6 sep to 18 sep 2010</t>
  </si>
  <si>
    <t>lalycett@yahoo.co.uk</t>
  </si>
  <si>
    <t>4 inc 2 children</t>
  </si>
  <si>
    <t>Jul 12-10</t>
  </si>
  <si>
    <t xml:space="preserve">3 Inc 1 child </t>
  </si>
  <si>
    <t>Wendy Frost</t>
  </si>
  <si>
    <t>wendyfrost20@hotmail.com</t>
  </si>
  <si>
    <t>17 oct to  31 oct</t>
  </si>
  <si>
    <t>6 inc 2 children</t>
  </si>
  <si>
    <t>Aug 22-10</t>
  </si>
  <si>
    <t>Dos Santos</t>
  </si>
  <si>
    <t>3 Inc 1 child</t>
  </si>
  <si>
    <t>Dos  Santos</t>
  </si>
  <si>
    <t>greg cottingham</t>
  </si>
  <si>
    <t>Jan 15-11</t>
  </si>
  <si>
    <t>Al@Americansweets.co.uk</t>
  </si>
  <si>
    <t>Al Baker</t>
  </si>
  <si>
    <t>??</t>
  </si>
  <si>
    <t>3 incl 1 chikd</t>
  </si>
  <si>
    <t>27 Aug to 3 Sep</t>
  </si>
  <si>
    <t>Jul 15-10</t>
  </si>
  <si>
    <t>3 inc 1 children</t>
  </si>
  <si>
    <t>Aug 20-10</t>
  </si>
  <si>
    <t>ORIGINAL COSTS</t>
  </si>
  <si>
    <t>CLEAN EVERY 2 WEEKS + HOUSE WATCH</t>
  </si>
  <si>
    <t>blonde205@hotmail.com</t>
  </si>
  <si>
    <t>5 inc 3 children</t>
  </si>
  <si>
    <t>Smantha  Copple</t>
  </si>
  <si>
    <t>Neville Chesworth</t>
  </si>
  <si>
    <t>nevillechesworth@hotmail.com</t>
  </si>
  <si>
    <t>22 Nov to 29 Nov 2010</t>
  </si>
  <si>
    <t>2 inc 0 children</t>
  </si>
  <si>
    <t>Sept 27-10</t>
  </si>
  <si>
    <t>Annie Peryra</t>
  </si>
  <si>
    <t>Mar 6-11</t>
  </si>
  <si>
    <t xml:space="preserve">INTERIM CLEAN MAY 4 + Clean ON EXIT </t>
  </si>
  <si>
    <t>4 inc 0 children</t>
  </si>
  <si>
    <t>apereyra@optonline.net</t>
  </si>
  <si>
    <t>wnewsome@blueyonder.co.uk</t>
  </si>
  <si>
    <t>Wayne Newsome</t>
  </si>
  <si>
    <t>1  Oct to 8 Oct</t>
  </si>
  <si>
    <t>Aug 6-10</t>
  </si>
  <si>
    <t>ines1973@hotmail.co.uk</t>
  </si>
  <si>
    <t>Andy Colbridge</t>
  </si>
  <si>
    <t>6 Inc 2 Children</t>
  </si>
  <si>
    <t>May 14-11</t>
  </si>
  <si>
    <t>#</t>
  </si>
  <si>
    <t>Nights</t>
  </si>
  <si>
    <t>13 Nov to 19 Nov 10</t>
  </si>
  <si>
    <t>Weeks:</t>
  </si>
  <si>
    <t>Nights:</t>
  </si>
  <si>
    <t>A/D/F1/B/F2/T APPL TO NEXT YER</t>
  </si>
  <si>
    <t>colinrann5@yahoo.co.uk</t>
  </si>
  <si>
    <t xml:space="preserve"> PAY PAL 3.9%? 1=Y 0=N</t>
  </si>
  <si>
    <t>Sep 16-10</t>
  </si>
  <si>
    <t>4 Nov to 13 Nov</t>
  </si>
  <si>
    <t>20 Nov  to 21 Nov 2010</t>
  </si>
  <si>
    <t>Us Nights</t>
  </si>
  <si>
    <t>Us Weeks</t>
  </si>
  <si>
    <t>Rented Nights</t>
  </si>
  <si>
    <t>Rented Weeks</t>
  </si>
  <si>
    <t>D/A/F1/B/F2/RI/T</t>
  </si>
  <si>
    <t>Per week NET NET</t>
  </si>
  <si>
    <t>Jun-3-11</t>
  </si>
  <si>
    <t>daniel.cronin@hotmail.co.uk</t>
  </si>
  <si>
    <t>Daniel Cronin</t>
  </si>
  <si>
    <t>QUOTED</t>
  </si>
  <si>
    <t>BANK OR</t>
  </si>
  <si>
    <r>
      <t>BANK</t>
    </r>
    <r>
      <rPr>
        <b/>
        <sz val="18"/>
        <color indexed="10"/>
        <rFont val="Calibri"/>
        <family val="2"/>
      </rPr>
      <t xml:space="preserve"> OR</t>
    </r>
  </si>
  <si>
    <t>PER</t>
  </si>
  <si>
    <t>PERSON</t>
  </si>
  <si>
    <t>5 inc 1 child</t>
  </si>
  <si>
    <t>Collin Ran</t>
  </si>
  <si>
    <t>22 Sep to 29 Sep</t>
  </si>
  <si>
    <t>Martin Smith</t>
  </si>
  <si>
    <t>bastoad@hotmail.com</t>
  </si>
  <si>
    <t>Jul-28-11</t>
  </si>
  <si>
    <t>DISCOUNT</t>
  </si>
  <si>
    <t>BASE</t>
  </si>
  <si>
    <t>ADJUSTED TO DISCOUT TO 6 PEOPLE</t>
  </si>
  <si>
    <t>Rolland Lavallee</t>
  </si>
  <si>
    <t>ray.lavallee@verizon.net</t>
  </si>
  <si>
    <t>Dec 7-10</t>
  </si>
  <si>
    <t>June 1 to June 30 &amp; Sep 1 Dec 31</t>
  </si>
  <si>
    <t>Jan 1 to May 31</t>
  </si>
  <si>
    <t>toddbonin@hotmail.com</t>
  </si>
  <si>
    <t>OR</t>
  </si>
  <si>
    <t>NOW</t>
  </si>
  <si>
    <t>Karel Van Roten</t>
  </si>
  <si>
    <t>karel.van.roten@telenet.be</t>
  </si>
  <si>
    <t>18  Dec to 25 Dec 2010</t>
  </si>
  <si>
    <t>26 dec to 30 dec 2010</t>
  </si>
  <si>
    <t>Todd bonin</t>
  </si>
  <si>
    <t>A/D/F1/B/F2</t>
  </si>
  <si>
    <t>D/A/F1/B/F2/T</t>
  </si>
  <si>
    <t>DONE</t>
  </si>
  <si>
    <t>24 Jun to 8 Jul</t>
  </si>
  <si>
    <t>4 inc 1 child</t>
  </si>
  <si>
    <t>Apr 29-11</t>
  </si>
  <si>
    <t>laura_alice@hotmail.co.uk</t>
  </si>
  <si>
    <t>Graham Robson</t>
  </si>
  <si>
    <t>A/D/F1/B/F2/R/T</t>
  </si>
  <si>
    <t>A/D/F1/F2/T</t>
  </si>
  <si>
    <t>millmanjacqueline@hotmail.co.uk</t>
  </si>
  <si>
    <t>Jackie Milman</t>
  </si>
  <si>
    <t>1 Inc 0 children</t>
  </si>
  <si>
    <t>Dorothy Lyons</t>
  </si>
  <si>
    <t>dvlyons@charter.net</t>
  </si>
  <si>
    <t>19 Mar 25 Mar</t>
  </si>
  <si>
    <r>
      <t xml:space="preserve">5 Dec to </t>
    </r>
    <r>
      <rPr>
        <b/>
        <sz val="11"/>
        <color indexed="10"/>
        <rFont val="Calibri"/>
        <family val="2"/>
      </rPr>
      <t>16 dec</t>
    </r>
  </si>
  <si>
    <t>BANK</t>
  </si>
  <si>
    <t>FK</t>
  </si>
  <si>
    <t>Sabine.krumm08@yahoo.de</t>
  </si>
  <si>
    <t>Sabine Krumm</t>
  </si>
  <si>
    <t>17 Oct to 28 Oct</t>
  </si>
  <si>
    <t>6 inc 0 children</t>
  </si>
  <si>
    <t>Jul 18-11</t>
  </si>
  <si>
    <t>Stan Gill</t>
  </si>
  <si>
    <t>22 Nov 2 Dec</t>
  </si>
  <si>
    <t>3 Inc 1 Child</t>
  </si>
  <si>
    <t>31 May 15 Jun</t>
  </si>
  <si>
    <t>2 Inc 0 Children</t>
  </si>
  <si>
    <r>
      <t xml:space="preserve">Clean </t>
    </r>
    <r>
      <rPr>
        <sz val="10"/>
        <color indexed="10"/>
        <rFont val="Verdana"/>
        <family val="2"/>
      </rPr>
      <t xml:space="preserve">Exit </t>
    </r>
    <r>
      <rPr>
        <b/>
        <sz val="10"/>
        <color indexed="10"/>
        <rFont val="Verdana"/>
        <family val="2"/>
      </rPr>
      <t>FAST TURNAROUND</t>
    </r>
  </si>
  <si>
    <t>Annie Prreyra</t>
  </si>
  <si>
    <t>8 Mar to 12 Mar</t>
  </si>
  <si>
    <t>2 Sep to 16 Sep</t>
  </si>
  <si>
    <t>annejwalker52@yahoo.co.uk</t>
  </si>
  <si>
    <t>Anne Walker</t>
  </si>
  <si>
    <t>HL</t>
  </si>
  <si>
    <t>Jul-8-11</t>
  </si>
  <si>
    <t>stuart.reiken@lincfs.com</t>
  </si>
  <si>
    <t>Stuart reiken</t>
  </si>
  <si>
    <t>8 inc 4 children</t>
  </si>
  <si>
    <t xml:space="preserve"> </t>
  </si>
  <si>
    <t>Jun-18-11</t>
  </si>
  <si>
    <t>Judy Mullett</t>
  </si>
  <si>
    <t>jcerettmullett@hotmail.com</t>
  </si>
  <si>
    <t>17 Jun to 24 Jun</t>
  </si>
  <si>
    <t>4 Inc 3 Children</t>
  </si>
  <si>
    <t>Apr-22-11</t>
  </si>
  <si>
    <t>SCByersFamily@aol.com</t>
  </si>
  <si>
    <t>1 Mar to 15</t>
  </si>
  <si>
    <t>Jan 4-12</t>
  </si>
  <si>
    <t>johnparker@freezone.co.uk</t>
  </si>
  <si>
    <t>Sep 10-11</t>
  </si>
  <si>
    <t>Wks</t>
  </si>
  <si>
    <t>Rented Nights:</t>
  </si>
  <si>
    <t>Net Per Week:</t>
  </si>
  <si>
    <t>PRICE</t>
  </si>
  <si>
    <t>2009 OLD</t>
  </si>
  <si>
    <t>2008 VERY</t>
  </si>
  <si>
    <t>PRICES</t>
  </si>
  <si>
    <t>CURRENT WANTED</t>
  </si>
  <si>
    <t>AVERAGE:</t>
  </si>
  <si>
    <t>NONE</t>
  </si>
  <si>
    <t>INSERTABLE ROW</t>
  </si>
  <si>
    <t>TRANSFER</t>
  </si>
  <si>
    <t>CHARGE</t>
  </si>
  <si>
    <t>1=B 2=PP</t>
  </si>
  <si>
    <t xml:space="preserve">INTERIM CLEAN MAY 19 + Clean ON EXIT </t>
  </si>
  <si>
    <t>1 Jan 2011 to 28 Feb</t>
  </si>
  <si>
    <t>1 Mar to 8 mar</t>
  </si>
  <si>
    <t>12 Mar to 19 March</t>
  </si>
  <si>
    <t>25 Mar to 27 Mar</t>
  </si>
  <si>
    <t>29 Mar to 12 Apr</t>
  </si>
  <si>
    <t>15 April to 22 April</t>
  </si>
  <si>
    <t>22 April to 29 april</t>
  </si>
  <si>
    <t xml:space="preserve">1 May to 8 May </t>
  </si>
  <si>
    <t>9 May to29 May</t>
  </si>
  <si>
    <t>5 to 16 june</t>
  </si>
  <si>
    <t>9 Jul  to 16 Jul</t>
  </si>
  <si>
    <t>20 Jul to 29 Jul</t>
  </si>
  <si>
    <t>29 Jul to Aug 5</t>
  </si>
  <si>
    <t>13 Aug to 27 Aug</t>
  </si>
  <si>
    <t xml:space="preserve">7 oct to 10 oct </t>
  </si>
  <si>
    <t xml:space="preserve">26 dec to 31 dec </t>
  </si>
  <si>
    <t xml:space="preserve">1 Jan to 29 Feb </t>
  </si>
  <si>
    <t>5 Nov to 10 Nov</t>
  </si>
  <si>
    <t>10 Nov to 13 Nov</t>
  </si>
  <si>
    <t>TO BE</t>
  </si>
  <si>
    <t>WEB SITE</t>
  </si>
  <si>
    <t>Apr-5-12</t>
  </si>
  <si>
    <r>
      <t xml:space="preserve">3 inc 1 child </t>
    </r>
    <r>
      <rPr>
        <b/>
        <sz val="11"/>
        <color indexed="10"/>
        <rFont val="Calibri"/>
        <family val="2"/>
      </rPr>
      <t>(RC)</t>
    </r>
  </si>
  <si>
    <t xml:space="preserve"> Total </t>
  </si>
  <si>
    <t>WHEN ENTERING A NEW YEAR MANY HIDDEN COLUMNS AND FORMULAS MUST BE EDITED</t>
  </si>
  <si>
    <t>Still to come</t>
  </si>
  <si>
    <t>7 July to 22 July</t>
  </si>
  <si>
    <t>Alison Gibbons</t>
  </si>
  <si>
    <r>
      <t>8 Inc 2 children (</t>
    </r>
    <r>
      <rPr>
        <sz val="11"/>
        <color indexed="10"/>
        <rFont val="Calibri"/>
        <family val="2"/>
      </rPr>
      <t>Flex Guests</t>
    </r>
    <r>
      <rPr>
        <sz val="11"/>
        <color theme="1"/>
        <rFont val="Calibri"/>
        <family val="2"/>
        <scheme val="minor"/>
      </rPr>
      <t>)</t>
    </r>
  </si>
  <si>
    <t>Amanda &amp; john parker</t>
  </si>
  <si>
    <t>greg@cottingham.ca,  greg.cottingham@rogers.com</t>
  </si>
  <si>
    <t>A/D/F1/B/F2/RR/T</t>
  </si>
  <si>
    <t>dhill@williamblair.com</t>
  </si>
  <si>
    <t>6 Aug to 13 Aug</t>
  </si>
  <si>
    <t>y</t>
  </si>
  <si>
    <t>Jun-11-11</t>
  </si>
  <si>
    <t>Joanna Boughey</t>
  </si>
  <si>
    <t>joanna_boughey@hotmail.com</t>
  </si>
  <si>
    <t>Mar 31 to 7 Apr</t>
  </si>
  <si>
    <t>Feb 4-12</t>
  </si>
  <si>
    <t>JoAnn Marchant</t>
  </si>
  <si>
    <t>13 Nov to 20 Nov</t>
  </si>
  <si>
    <t>Sep 18-11</t>
  </si>
  <si>
    <t>randi222@roadrunner.com petermarchant@me.com</t>
  </si>
  <si>
    <t>lounduncs@me.com </t>
  </si>
  <si>
    <t>20 Dec to 26 Dec</t>
  </si>
  <si>
    <t>9 Inc 3 Children</t>
  </si>
  <si>
    <t>masterslmm@yahoo.co.uk</t>
  </si>
  <si>
    <r>
      <t>Louise Bull</t>
    </r>
    <r>
      <rPr>
        <sz val="11"/>
        <color indexed="10"/>
        <rFont val="Calibri"/>
        <family val="2"/>
      </rPr>
      <t xml:space="preserve"> NEEDS ADD POOL RELEASES</t>
    </r>
  </si>
  <si>
    <t>Na</t>
  </si>
  <si>
    <t>D/A/F1/B/F2/RR/T</t>
  </si>
  <si>
    <t>Sarah Robertson</t>
  </si>
  <si>
    <t>robertson.sarah@talktalk.net</t>
  </si>
  <si>
    <t>12 Dec 20 Dec</t>
  </si>
  <si>
    <t>17-Oc</t>
  </si>
  <si>
    <t>Louise Masters</t>
  </si>
  <si>
    <t>Apr 7 to Apr 13</t>
  </si>
  <si>
    <t>Feb 11-12</t>
  </si>
  <si>
    <t>Brian Reid</t>
  </si>
  <si>
    <t>brian.reid@pcbank.ca</t>
  </si>
  <si>
    <t>21 Jul to 4 Aug</t>
  </si>
  <si>
    <t>May 26-12</t>
  </si>
  <si>
    <t>21 Nov to 25 Nov</t>
  </si>
  <si>
    <t>26 dec to 30 dec 2012</t>
  </si>
  <si>
    <t>jackoneill2@hotmail.com</t>
  </si>
  <si>
    <t>29 Oct to 5 Nov</t>
  </si>
  <si>
    <t>jacqueline fahy O'neil</t>
  </si>
  <si>
    <t>conny.elisabeth@tele2.se</t>
  </si>
  <si>
    <t>Mar-10-12</t>
  </si>
  <si>
    <t>Elisabeth O Conny</t>
  </si>
  <si>
    <t>Apr 21 to May 5</t>
  </si>
  <si>
    <r>
      <t>6 Inc 2 children</t>
    </r>
    <r>
      <rPr>
        <b/>
        <sz val="11"/>
        <color indexed="10"/>
        <rFont val="Calibri"/>
        <family val="2"/>
      </rPr>
      <t xml:space="preserve"> (RC)</t>
    </r>
  </si>
  <si>
    <t>Feb 25-12</t>
  </si>
  <si>
    <t>Apr-20-12</t>
  </si>
  <si>
    <t>Ken Faulkner</t>
  </si>
  <si>
    <t>lightingforyou1@aol.com</t>
  </si>
  <si>
    <t>10 May to 26 May</t>
  </si>
  <si>
    <t>Mar 15-13</t>
  </si>
  <si>
    <t>Hugh Matson</t>
  </si>
  <si>
    <t>hughjmatson@aol.com</t>
  </si>
  <si>
    <t>2 Sep to 15 Sep</t>
  </si>
  <si>
    <t>Jul  8-12</t>
  </si>
  <si>
    <t>gary.twells@ntlworld.com</t>
  </si>
  <si>
    <t>Gary Wells</t>
  </si>
  <si>
    <t>29 Oct to 15 Nov</t>
  </si>
  <si>
    <t>Sep 3-12</t>
  </si>
  <si>
    <t>Apr 13 to Apr 21</t>
  </si>
  <si>
    <t>Stan Keyworth</t>
  </si>
  <si>
    <t>Jun-10-12</t>
  </si>
  <si>
    <t>Marianne Meijer</t>
  </si>
  <si>
    <t>18 to 26 Oct 2012</t>
  </si>
  <si>
    <t>Aug 23-12</t>
  </si>
  <si>
    <t>4 Aug to 19 Aug</t>
  </si>
  <si>
    <t>stanleykeyworth@btinternet.com annette.keyworth@googlemail.com</t>
  </si>
  <si>
    <r>
      <t xml:space="preserve">Scott Byers </t>
    </r>
    <r>
      <rPr>
        <b/>
        <sz val="11"/>
        <color rgb="FFFF0000"/>
        <rFont val="Calibri"/>
        <family val="2"/>
        <scheme val="minor"/>
      </rPr>
      <t>(LATE &gt;3PM CHECKOUT)</t>
    </r>
  </si>
  <si>
    <r>
      <t>A/D/F1/B/F2/FI/</t>
    </r>
    <r>
      <rPr>
        <sz val="11"/>
        <color rgb="FFFF0000"/>
        <rFont val="Calibri"/>
        <family val="2"/>
        <scheme val="minor"/>
      </rPr>
      <t>RR/</t>
    </r>
    <r>
      <rPr>
        <sz val="11"/>
        <rFont val="Calibri"/>
        <family val="2"/>
        <scheme val="minor"/>
      </rPr>
      <t>T</t>
    </r>
  </si>
  <si>
    <r>
      <t>A/D/F1-</t>
    </r>
    <r>
      <rPr>
        <b/>
        <sz val="11"/>
        <color rgb="FFFF0000"/>
        <rFont val="Calibri"/>
        <family val="2"/>
        <scheme val="minor"/>
      </rPr>
      <t>CANCELED AND REFUNDED</t>
    </r>
  </si>
  <si>
    <t>wimmer@kastl-kollegen.com</t>
  </si>
  <si>
    <t>6 inc 4 children</t>
  </si>
  <si>
    <t>June-17-12</t>
  </si>
  <si>
    <r>
      <t>A/D/F1/B/F2/FI//</t>
    </r>
    <r>
      <rPr>
        <sz val="11"/>
        <color rgb="FFFF0000"/>
        <rFont val="Calibri"/>
        <family val="2"/>
        <scheme val="minor"/>
      </rPr>
      <t>RR</t>
    </r>
    <r>
      <rPr>
        <sz val="11"/>
        <rFont val="Calibri"/>
        <family val="2"/>
        <scheme val="minor"/>
      </rPr>
      <t>/T</t>
    </r>
  </si>
  <si>
    <r>
      <t>A/D/F1/B/F2/FF</t>
    </r>
    <r>
      <rPr>
        <sz val="11"/>
        <color rgb="FFFF0000"/>
        <rFont val="Calibri"/>
        <family val="2"/>
        <scheme val="minor"/>
      </rPr>
      <t>/RR</t>
    </r>
    <r>
      <rPr>
        <sz val="11"/>
        <color theme="1"/>
        <rFont val="Calibri"/>
        <family val="2"/>
        <scheme val="minor"/>
      </rPr>
      <t>/</t>
    </r>
    <r>
      <rPr>
        <sz val="11"/>
        <color rgb="FFFF0000"/>
        <rFont val="Calibri"/>
        <family val="2"/>
        <scheme val="minor"/>
      </rPr>
      <t>T/SR/</t>
    </r>
  </si>
  <si>
    <t>2 Dec to 12 Dec</t>
  </si>
  <si>
    <r>
      <t>Alison Gibbons</t>
    </r>
    <r>
      <rPr>
        <b/>
        <sz val="11"/>
        <color rgb="FFFF0000"/>
        <rFont val="Calibri"/>
        <family val="2"/>
        <scheme val="minor"/>
      </rPr>
      <t xml:space="preserve"> (RETURN CLIENT)</t>
    </r>
  </si>
  <si>
    <r>
      <t xml:space="preserve">Darrell Hill  </t>
    </r>
    <r>
      <rPr>
        <sz val="11"/>
        <color indexed="10"/>
        <rFont val="Calibri"/>
        <family val="2"/>
      </rPr>
      <t xml:space="preserve">Canceled </t>
    </r>
  </si>
  <si>
    <t xml:space="preserve"> remeijer@ziggo.nl &lt;-----------   That is the pay pal one info@babymoonandco.nl</t>
  </si>
  <si>
    <r>
      <t>Johann Wimmer (</t>
    </r>
    <r>
      <rPr>
        <sz val="11"/>
        <color rgb="FFFF0000"/>
        <rFont val="Calibri"/>
        <family val="2"/>
        <scheme val="minor"/>
      </rPr>
      <t>LEAVING LATE CLEAN NEXT DAY</t>
    </r>
    <r>
      <rPr>
        <sz val="11"/>
        <color theme="1"/>
        <rFont val="Calibri"/>
        <family val="2"/>
        <scheme val="minor"/>
      </rPr>
      <t>)</t>
    </r>
  </si>
  <si>
    <r>
      <t xml:space="preserve">19 Aug to </t>
    </r>
    <r>
      <rPr>
        <b/>
        <sz val="11"/>
        <color rgb="FFFF0000"/>
        <rFont val="Calibri"/>
        <family val="2"/>
        <scheme val="minor"/>
      </rPr>
      <t>1 Sep</t>
    </r>
  </si>
  <si>
    <t>A/D/F1/B/F2/FI/REC/RR/T</t>
  </si>
  <si>
    <t>7 Inc 0 Children</t>
  </si>
  <si>
    <t>Apr-28-12</t>
  </si>
  <si>
    <t>barbhawkins1@gmail.com PAYPAL agstudley@aol.com</t>
  </si>
  <si>
    <t>Current</t>
  </si>
  <si>
    <t>To be imputed to web sites</t>
  </si>
  <si>
    <t>Next action</t>
  </si>
  <si>
    <t>Immediate action expected</t>
  </si>
  <si>
    <t>A/D/F1/B/F2/REC/FI/REQUESTED BANK INFO</t>
  </si>
  <si>
    <t>Michael Petronko</t>
  </si>
  <si>
    <t>mpetronk@rci.rutgers.edu</t>
  </si>
  <si>
    <t>16 March to 30 March</t>
  </si>
  <si>
    <t>7 including 3 children</t>
  </si>
  <si>
    <t>Jan 20-12</t>
  </si>
  <si>
    <t>ros_stan@btinternet.com stan@gill54.fsworld.co.uk</t>
  </si>
  <si>
    <t>Awaiting rev to do transfer</t>
  </si>
  <si>
    <t>A/D/F1/B/F2/REC/FI/RR/T</t>
  </si>
  <si>
    <t>Collier</t>
  </si>
  <si>
    <t>Florida</t>
  </si>
  <si>
    <t>Quarter</t>
  </si>
  <si>
    <t>1-2-3-4</t>
  </si>
  <si>
    <t>Q1</t>
  </si>
  <si>
    <t>Q2</t>
  </si>
  <si>
    <t>Q3</t>
  </si>
  <si>
    <t>Q4</t>
  </si>
  <si>
    <t xml:space="preserve">Barb Hawkins </t>
  </si>
  <si>
    <t>Angela Taibi</t>
  </si>
  <si>
    <t>t.taibi@btinternet.com</t>
  </si>
  <si>
    <t>7 inc 3 children</t>
  </si>
  <si>
    <t>Feb 3-13</t>
  </si>
  <si>
    <r>
      <t>5 inc 1 child</t>
    </r>
    <r>
      <rPr>
        <b/>
        <sz val="11"/>
        <color rgb="FFFF0000"/>
        <rFont val="Calibri"/>
        <family val="2"/>
        <scheme val="minor"/>
      </rPr>
      <t xml:space="preserve"> (RC)</t>
    </r>
  </si>
  <si>
    <t>A/D/F2/B/DONE/REC/FI/T</t>
  </si>
  <si>
    <t>7 Jul to 21 Jul</t>
  </si>
  <si>
    <t>Tammy Wright</t>
  </si>
  <si>
    <t>twright@williams.edu</t>
  </si>
  <si>
    <t>HA</t>
  </si>
  <si>
    <t>30 Jun to 7 Jul</t>
  </si>
  <si>
    <t>May-4-12</t>
  </si>
  <si>
    <t>15 June to 23 June</t>
  </si>
  <si>
    <r>
      <t>Judy Cerett Mullett</t>
    </r>
    <r>
      <rPr>
        <sz val="11"/>
        <color rgb="FFFF0000"/>
        <rFont val="Calibri"/>
        <family val="2"/>
        <scheme val="minor"/>
      </rPr>
      <t xml:space="preserve">  (RETURN CLIENT)</t>
    </r>
  </si>
  <si>
    <t>Christine Euesden</t>
  </si>
  <si>
    <t>17 Sep to 24 Sep</t>
  </si>
  <si>
    <t>Jul-23-12</t>
  </si>
  <si>
    <t>6 inc visitors</t>
  </si>
  <si>
    <t>15 Mar to 25 Mar</t>
  </si>
  <si>
    <t>Joshuadalley@hotmail.com</t>
  </si>
  <si>
    <t>christine_euesden@hotmail.co.uk  FOR PAYPAL USE: neil.euesden@pinnacle-psg.com</t>
  </si>
  <si>
    <t>Jan-17-13</t>
  </si>
  <si>
    <t>12 Apr to 21 Apr</t>
  </si>
  <si>
    <r>
      <t xml:space="preserve">Paul  Ward </t>
    </r>
    <r>
      <rPr>
        <sz val="11"/>
        <color rgb="FFFF0000"/>
        <rFont val="Calibri"/>
        <family val="2"/>
        <scheme val="minor"/>
      </rPr>
      <t xml:space="preserve"> (RETURN CLIENT)</t>
    </r>
  </si>
  <si>
    <r>
      <t xml:space="preserve">Nick Fister </t>
    </r>
    <r>
      <rPr>
        <sz val="11"/>
        <color rgb="FFFF0000"/>
        <rFont val="Calibri"/>
        <family val="2"/>
      </rPr>
      <t>(RETURN CLIENT)</t>
    </r>
  </si>
  <si>
    <r>
      <t xml:space="preserve">6 Inc 4 Children </t>
    </r>
    <r>
      <rPr>
        <b/>
        <sz val="11"/>
        <color rgb="FFFF0000"/>
        <rFont val="Calibri"/>
        <family val="2"/>
        <scheme val="minor"/>
      </rPr>
      <t>(RC)</t>
    </r>
  </si>
  <si>
    <r>
      <t xml:space="preserve">Clean </t>
    </r>
    <r>
      <rPr>
        <sz val="10"/>
        <color indexed="10"/>
        <rFont val="Verdana"/>
        <family val="2"/>
      </rPr>
      <t>Every 2 weeks</t>
    </r>
  </si>
  <si>
    <t>A/D/F1/B/F2/REC/FI/T</t>
  </si>
  <si>
    <t>9 to 18 Oct</t>
  </si>
  <si>
    <t>10 inc 2 children</t>
  </si>
  <si>
    <t>Aug-14-12</t>
  </si>
  <si>
    <t>Pauline Reale Sabino</t>
  </si>
  <si>
    <t>pauline.reale@gmail.com for PayPal -&gt; reale@metrocast.net  Emanuel Reale</t>
  </si>
  <si>
    <t>Clean Exit ONLY</t>
  </si>
  <si>
    <r>
      <rPr>
        <b/>
        <sz val="11"/>
        <color rgb="FFFF0000"/>
        <rFont val="Calibri"/>
        <family val="2"/>
        <scheme val="minor"/>
      </rPr>
      <t>23</t>
    </r>
    <r>
      <rPr>
        <sz val="11"/>
        <color theme="1"/>
        <rFont val="Calibri"/>
        <family val="2"/>
        <scheme val="minor"/>
      </rPr>
      <t xml:space="preserve"> May 28 May</t>
    </r>
  </si>
  <si>
    <t>Andrew Zura</t>
  </si>
  <si>
    <t>zuraa@ccf.org</t>
  </si>
  <si>
    <r>
      <t>18 to 23 Dec</t>
    </r>
    <r>
      <rPr>
        <b/>
        <sz val="11"/>
        <color rgb="FFFF0000"/>
        <rFont val="Calibri"/>
        <family val="2"/>
        <scheme val="minor"/>
      </rPr>
      <t xml:space="preserve"> LEAVING LATE 5PM</t>
    </r>
  </si>
  <si>
    <t>5 inc 2 children</t>
  </si>
  <si>
    <t>Oct-23-12</t>
  </si>
  <si>
    <t>5 inc 0 children</t>
  </si>
  <si>
    <r>
      <t>5 May 19 May</t>
    </r>
    <r>
      <rPr>
        <b/>
        <sz val="11"/>
        <color rgb="FFFF0000"/>
        <rFont val="Calibri"/>
        <family val="2"/>
        <scheme val="minor"/>
      </rPr>
      <t xml:space="preserve"> WAITING REVIEW</t>
    </r>
  </si>
  <si>
    <t>5 Mar to 15 Mar</t>
  </si>
  <si>
    <t>Marc Tocatlian</t>
  </si>
  <si>
    <t>Marc.TOCATLIAN@oecd.org</t>
  </si>
  <si>
    <t>Jan-8-13</t>
  </si>
  <si>
    <t>Adam Howell</t>
  </si>
  <si>
    <t>adam.n.portia@juno.com</t>
  </si>
  <si>
    <r>
      <t xml:space="preserve">9 to 18 Dec  </t>
    </r>
    <r>
      <rPr>
        <b/>
        <sz val="11"/>
        <color rgb="FFFF0000"/>
        <rFont val="Calibri"/>
        <family val="2"/>
        <scheme val="minor"/>
      </rPr>
      <t>MUST ARRANGE 1 DOZEN RED + 1 DOZEN YELLOW ROSES IN VASES + 1 BOTTLE CHAMPAGN</t>
    </r>
  </si>
  <si>
    <t>Oct-14-12</t>
  </si>
  <si>
    <t>5 Apr to 19 Apr</t>
  </si>
  <si>
    <t>Nov 26 to Dec 1</t>
  </si>
  <si>
    <t>9 inc 3 children</t>
  </si>
  <si>
    <t>bruijs@caiw.nl</t>
  </si>
  <si>
    <t xml:space="preserve">Joop Bruijstens </t>
  </si>
  <si>
    <t>Mar 8-13</t>
  </si>
  <si>
    <t>D/A/F1/B/F2/RR/Eater failed send back + 100</t>
  </si>
  <si>
    <r>
      <t xml:space="preserve">23 Jun to 30 Jun </t>
    </r>
    <r>
      <rPr>
        <b/>
        <sz val="11"/>
        <color rgb="FFFF0000"/>
        <rFont val="Calibri"/>
        <family val="2"/>
        <scheme val="minor"/>
      </rPr>
      <t>WAITING REVIEW</t>
    </r>
  </si>
  <si>
    <t>goldenhonie@sbcglobal.net</t>
  </si>
  <si>
    <t>Deanna Golden</t>
  </si>
  <si>
    <t>Mar 8 to Mar 15</t>
  </si>
  <si>
    <r>
      <t>A/D/F1/B/F2/</t>
    </r>
    <r>
      <rPr>
        <sz val="11"/>
        <color rgb="FFFF0000"/>
        <rFont val="Calibri"/>
        <family val="2"/>
        <scheme val="minor"/>
      </rPr>
      <t>RR</t>
    </r>
    <r>
      <rPr>
        <sz val="11"/>
        <color theme="1"/>
        <rFont val="Calibri"/>
        <family val="2"/>
        <scheme val="minor"/>
      </rPr>
      <t>/T</t>
    </r>
  </si>
  <si>
    <t>26 Oct to 28 Oct</t>
  </si>
  <si>
    <r>
      <t>15 Sep to 17 Sep</t>
    </r>
    <r>
      <rPr>
        <b/>
        <sz val="11"/>
        <color rgb="FFFF0000"/>
        <rFont val="Calibri"/>
        <family val="2"/>
        <scheme val="minor"/>
      </rPr>
      <t xml:space="preserve"> (ARRIVING 10AM SATYING ON THE BOAT THE NIGHT BEFORE)</t>
    </r>
  </si>
  <si>
    <t>Edward Peery</t>
  </si>
  <si>
    <t>edward.peery@gmail.com</t>
  </si>
  <si>
    <t>June 2 to June 16</t>
  </si>
  <si>
    <t>Jean armstrong</t>
  </si>
  <si>
    <t>armstrongjean52@yahoo.co.uk</t>
  </si>
  <si>
    <t>24 Apr to 1 May</t>
  </si>
  <si>
    <t>Feb 27-13</t>
  </si>
  <si>
    <t xml:space="preserve">Carlos &amp; Sarah Pereira </t>
  </si>
  <si>
    <t>25 Nov to Dec 8</t>
  </si>
  <si>
    <t>3 inc 0 children</t>
  </si>
  <si>
    <r>
      <t>1 to 8 oct 2012</t>
    </r>
    <r>
      <rPr>
        <b/>
        <sz val="11"/>
        <color rgb="FFFF0000"/>
        <rFont val="Calibri"/>
        <family val="2"/>
        <scheme val="minor"/>
      </rPr>
      <t xml:space="preserve"> (THIS IS A CHANGE)</t>
    </r>
  </si>
  <si>
    <t>Nightly</t>
  </si>
  <si>
    <t>28 feb to 2 mar</t>
  </si>
  <si>
    <t>na</t>
  </si>
  <si>
    <r>
      <t xml:space="preserve">May 26 to June 2 </t>
    </r>
    <r>
      <rPr>
        <sz val="11"/>
        <color rgb="FFFF0000"/>
        <rFont val="Calibri"/>
        <family val="2"/>
        <scheme val="minor"/>
      </rPr>
      <t>(Paul May  26 Dag and Jason May 30)</t>
    </r>
  </si>
  <si>
    <r>
      <t xml:space="preserve">1 Jan to 28 Feb </t>
    </r>
    <r>
      <rPr>
        <sz val="11"/>
        <color rgb="FFFF0000"/>
        <rFont val="Calibri"/>
        <family val="2"/>
        <scheme val="minor"/>
      </rPr>
      <t>(us 3 Jan to 5 Jan, 17 Jan to 20 Jan 31 Jan to 2 Feb 14 Feb to 23 Feb )</t>
    </r>
  </si>
  <si>
    <t>Eddie Malinowski</t>
  </si>
  <si>
    <t>eddiemfsk@hotmail.com</t>
  </si>
  <si>
    <t>INT</t>
  </si>
  <si>
    <t>2 Aug to 9 Aug</t>
  </si>
  <si>
    <t>may-31-14</t>
  </si>
  <si>
    <t>Rebecca Rogers</t>
  </si>
  <si>
    <t>rebeccasbakery@yahoo.com</t>
  </si>
  <si>
    <t xml:space="preserve">A/D/F1/B/F2/RR/T </t>
  </si>
  <si>
    <t>Helen Poxon</t>
  </si>
  <si>
    <t>glynpoxon@btinternet.com</t>
  </si>
  <si>
    <t>Jul 3 to July 13</t>
  </si>
  <si>
    <t>6 inc 6 teens</t>
  </si>
  <si>
    <t>May-8-13</t>
  </si>
  <si>
    <t xml:space="preserve">brianrfc@rogers.com </t>
  </si>
  <si>
    <t>Jul 13 to July 27</t>
  </si>
  <si>
    <t>May-10-13</t>
  </si>
  <si>
    <t xml:space="preserve">Michael Graham </t>
  </si>
  <si>
    <t>grahamm@ada.org</t>
  </si>
  <si>
    <t>15 Nov to 20 Nov</t>
  </si>
  <si>
    <t>Sep-20-12</t>
  </si>
  <si>
    <r>
      <t>A/D/F1/B/F2/</t>
    </r>
    <r>
      <rPr>
        <b/>
        <sz val="11"/>
        <color rgb="FFFF0000"/>
        <rFont val="Calibri"/>
        <family val="2"/>
        <scheme val="minor"/>
      </rPr>
      <t>RRASSHOLE/T</t>
    </r>
  </si>
  <si>
    <t>Pat Bush</t>
  </si>
  <si>
    <t>Aug 31 to Sep 28</t>
  </si>
  <si>
    <t>Jul-6-13</t>
  </si>
  <si>
    <t>pat.bush1@ntlworld.com</t>
  </si>
  <si>
    <r>
      <t xml:space="preserve">24 Sep to 1 Oct </t>
    </r>
    <r>
      <rPr>
        <b/>
        <sz val="11"/>
        <color rgb="FFFF0000"/>
        <rFont val="Calibri"/>
        <family val="2"/>
        <scheme val="minor"/>
      </rPr>
      <t>(CLEAN AT EXACTLY 10 AM AS THEY WANT TO LINGER AND I NEED TO MOVE IN.)</t>
    </r>
  </si>
  <si>
    <t>A/D/F1/B/F2/REC/RR/T</t>
  </si>
  <si>
    <t>Mandy Maloney</t>
  </si>
  <si>
    <t>mandymaloney@talktalk.net</t>
  </si>
  <si>
    <t>June 16 to June 30</t>
  </si>
  <si>
    <t>Apr-21-13</t>
  </si>
  <si>
    <t>Oct 10 to Oct 13</t>
  </si>
  <si>
    <t>Us</t>
  </si>
  <si>
    <t>April-7-13</t>
  </si>
  <si>
    <t>A/D/B/F2/REC/FI/RR/T Info</t>
  </si>
  <si>
    <r>
      <t>A/D/F1/B/F2/REC/FI/RR/</t>
    </r>
    <r>
      <rPr>
        <sz val="11"/>
        <color rgb="FFFF0000"/>
        <rFont val="Calibri"/>
        <family val="2"/>
        <scheme val="minor"/>
      </rPr>
      <t>T</t>
    </r>
  </si>
  <si>
    <t>1 Mar to 3 mar</t>
  </si>
  <si>
    <t>1 Jan to 28 Feb (us 1-4 to 1-6  &amp; 1-18 to 21… BUT DAG 1-19 to 1-20 &amp; 2-1 to 2-3 &amp; 2-15 to 24)</t>
  </si>
  <si>
    <r>
      <rPr>
        <b/>
        <sz val="11"/>
        <color rgb="FFFF0000"/>
        <rFont val="Calibri"/>
        <family val="2"/>
        <scheme val="minor"/>
      </rPr>
      <t>24 March BOAT then</t>
    </r>
    <r>
      <rPr>
        <sz val="11"/>
        <color theme="1"/>
        <rFont val="Calibri"/>
        <family val="2"/>
        <scheme val="minor"/>
      </rPr>
      <t xml:space="preserve"> 25 Marc to 31 Mar </t>
    </r>
    <r>
      <rPr>
        <sz val="11"/>
        <color rgb="FFFF0000"/>
        <rFont val="Calibri"/>
        <family val="2"/>
        <scheme val="minor"/>
      </rPr>
      <t>(Paul&amp; Jason) BUT DAG is  Mar 28  Dag  Mar31</t>
    </r>
  </si>
  <si>
    <t>We</t>
  </si>
  <si>
    <t>Were</t>
  </si>
  <si>
    <t>A/D/F1/B/F2/REC/FI/T/RR</t>
  </si>
  <si>
    <t>A/D/F1/B/F2/RR/INFO</t>
  </si>
  <si>
    <t>Christina Jansen</t>
  </si>
  <si>
    <t xml:space="preserve">csauermann@yahoo.de </t>
  </si>
  <si>
    <t>Nov 9 to Nov 16</t>
  </si>
  <si>
    <t>Sep-14-13</t>
  </si>
  <si>
    <t>A/D/F1/B/F2/Y/RR</t>
  </si>
  <si>
    <r>
      <t>31 Mar to 11  Apr  (</t>
    </r>
    <r>
      <rPr>
        <b/>
        <sz val="11"/>
        <color rgb="FFFF0000"/>
        <rFont val="Calibri"/>
        <family val="2"/>
        <scheme val="minor"/>
      </rPr>
      <t>leaving Late, clean aftyer 4PM or the next morning</t>
    </r>
    <r>
      <rPr>
        <sz val="11"/>
        <color theme="1"/>
        <rFont val="Calibri"/>
        <family val="2"/>
        <scheme val="minor"/>
      </rPr>
      <t>)</t>
    </r>
  </si>
  <si>
    <t xml:space="preserve">Nancy Collantine </t>
  </si>
  <si>
    <t>Jun-29-13</t>
  </si>
  <si>
    <t>Aug 24, to Aug 31</t>
  </si>
  <si>
    <t>Tina Millard</t>
  </si>
  <si>
    <t>Tinakappes@googlemail.com</t>
  </si>
  <si>
    <t>Oct 26 to Nov 9</t>
  </si>
  <si>
    <t>Aug-31-13</t>
  </si>
  <si>
    <t>GRAHAM OAKDEN</t>
  </si>
  <si>
    <t>OAKDENL@AOL.COM</t>
  </si>
  <si>
    <t>Mar 15 to Mar 22</t>
  </si>
  <si>
    <t>4 to 6 inc 0 children</t>
  </si>
  <si>
    <t>LJ Keyte</t>
  </si>
  <si>
    <t>ljkeyte@gmail.com --&gt; for pay pal us --&gt; rkeyte@tiscali.co.uk</t>
  </si>
  <si>
    <t>BT</t>
  </si>
  <si>
    <t>17 Aug to 24 Aug</t>
  </si>
  <si>
    <t>6 inc ?? Children</t>
  </si>
  <si>
    <t>Jun-22-13</t>
  </si>
  <si>
    <t>Elizabeth Ricke</t>
  </si>
  <si>
    <t>puppyma3@yahoo.com</t>
  </si>
  <si>
    <t>Oct 19, to Oc 26</t>
  </si>
  <si>
    <t>Aug-24-13</t>
  </si>
  <si>
    <t>May 22 to May 25</t>
  </si>
  <si>
    <t>13 March to 22 March</t>
  </si>
  <si>
    <t>Helena Tritchew</t>
  </si>
  <si>
    <t>tritchh@bell.net</t>
  </si>
  <si>
    <t>Jan-22-15</t>
  </si>
  <si>
    <t>Aug-6-13</t>
  </si>
  <si>
    <t>2 + 2 visitors</t>
  </si>
  <si>
    <t>Oct 1 to Oct 8 2013</t>
  </si>
  <si>
    <t>Dee Rosco</t>
  </si>
  <si>
    <t>utahdeer45@yahoo.com</t>
  </si>
  <si>
    <t>26 Jul but at the house only 27 Jul to 17 August ARRIVING EARLY STAYING ON BOAT NIGHT BEFORE TAKING BRIAN REID AND FAM ON CRUISE</t>
  </si>
  <si>
    <t>For 2015 all above  x 1.04</t>
  </si>
  <si>
    <t>Sep 4 to Sep 12</t>
  </si>
  <si>
    <t>Jul-10-14</t>
  </si>
  <si>
    <t>Linda Godden</t>
  </si>
  <si>
    <t>Lindag@lakeland.ws</t>
  </si>
  <si>
    <t xml:space="preserve">Dec 10-17 </t>
  </si>
  <si>
    <t>6 Inc 2 children</t>
  </si>
  <si>
    <t>Oct-15-13</t>
  </si>
  <si>
    <t>A/D/F1/B/F2/REC/T/RR</t>
  </si>
  <si>
    <t>Bernadette Walsh</t>
  </si>
  <si>
    <t>Bandjwalsh@gmail.com</t>
  </si>
  <si>
    <t>Nov 16 to Nov 23</t>
  </si>
  <si>
    <t>Sep-21-13</t>
  </si>
  <si>
    <r>
      <t>Josh Dalley</t>
    </r>
    <r>
      <rPr>
        <b/>
        <sz val="11"/>
        <color rgb="FFFF0000"/>
        <rFont val="Calibri"/>
        <family val="2"/>
        <scheme val="minor"/>
      </rPr>
      <t>(PIGS!!!  DO NOT ALLOW BACK))</t>
    </r>
  </si>
  <si>
    <t>A/D/F1/B/F2/REC/T</t>
  </si>
  <si>
    <r>
      <t>Mar 21 (on the boat) leave Mar 23 AT 5PM (</t>
    </r>
    <r>
      <rPr>
        <sz val="11"/>
        <color rgb="FFFF0000"/>
        <rFont val="Calibri"/>
        <family val="2"/>
        <scheme val="minor"/>
      </rPr>
      <t>guets know they are not ot arrive before 5PM</t>
    </r>
    <r>
      <rPr>
        <sz val="11"/>
        <color theme="1"/>
        <rFont val="Calibri"/>
        <family val="2"/>
        <scheme val="minor"/>
      </rPr>
      <t>)</t>
    </r>
  </si>
  <si>
    <r>
      <t>Dos Santos</t>
    </r>
    <r>
      <rPr>
        <sz val="11"/>
        <color rgb="FFFF0000"/>
        <rFont val="Calibri"/>
        <family val="2"/>
      </rPr>
      <t xml:space="preserve"> (BOAT)</t>
    </r>
  </si>
  <si>
    <r>
      <t xml:space="preserve">Dos Santos </t>
    </r>
    <r>
      <rPr>
        <sz val="11"/>
        <color rgb="FFFF0000"/>
        <rFont val="Calibri"/>
        <family val="2"/>
      </rPr>
      <t>(BOAT)</t>
    </r>
  </si>
  <si>
    <r>
      <t>3 inc 1 child</t>
    </r>
    <r>
      <rPr>
        <b/>
        <sz val="11"/>
        <color rgb="FFFF0000"/>
        <rFont val="Calibri"/>
        <family val="2"/>
        <scheme val="minor"/>
      </rPr>
      <t xml:space="preserve"> (RC)</t>
    </r>
  </si>
  <si>
    <t>Barbara Erwin</t>
  </si>
  <si>
    <t>babswin22@gmail.com</t>
  </si>
  <si>
    <t>Mar 23 to April 5</t>
  </si>
  <si>
    <r>
      <t xml:space="preserve">Paul  Ward </t>
    </r>
    <r>
      <rPr>
        <sz val="11"/>
        <color rgb="FFFF0000"/>
        <rFont val="Calibri"/>
        <family val="2"/>
        <scheme val="minor"/>
      </rPr>
      <t xml:space="preserve"> (RC) Kept 500 deposit as partial initial deposit bill another $697 toward the 40% deposit on </t>
    </r>
    <r>
      <rPr>
        <b/>
        <u/>
        <sz val="11"/>
        <color rgb="FFFF0000"/>
        <rFont val="Calibri"/>
        <family val="2"/>
        <scheme val="minor"/>
      </rPr>
      <t>8-3-2013 then on Jan 4 bill the balance of 2343</t>
    </r>
  </si>
  <si>
    <t>Jan-26-14</t>
  </si>
  <si>
    <r>
      <t xml:space="preserve">6 inc 2 children </t>
    </r>
    <r>
      <rPr>
        <b/>
        <sz val="11"/>
        <color rgb="FFFF0000"/>
        <rFont val="Calibri"/>
        <family val="2"/>
        <scheme val="minor"/>
      </rPr>
      <t>(PUT IN HL + OD   FROM HERE DOWN)</t>
    </r>
  </si>
  <si>
    <t>Richard Simpson</t>
  </si>
  <si>
    <t xml:space="preserve">blitztj@aol.com </t>
  </si>
  <si>
    <t>May 16 to May 23</t>
  </si>
  <si>
    <t>Mar-21-14</t>
  </si>
  <si>
    <t>Jessica Jeffries</t>
  </si>
  <si>
    <t>jessica_jeffries@yahoo.de</t>
  </si>
  <si>
    <t>April 26 to May 13</t>
  </si>
  <si>
    <t>Feb 28-14</t>
  </si>
  <si>
    <t>A/D/F1/F2/B</t>
  </si>
  <si>
    <r>
      <rPr>
        <b/>
        <sz val="11"/>
        <color rgb="FFFF0000"/>
        <rFont val="Calibri"/>
        <family val="2"/>
      </rPr>
      <t xml:space="preserve">Boat YES NO? </t>
    </r>
    <r>
      <rPr>
        <sz val="11"/>
        <rFont val="Calibri"/>
        <family val="2"/>
      </rPr>
      <t xml:space="preserve">Brian Reid </t>
    </r>
    <r>
      <rPr>
        <b/>
        <sz val="11"/>
        <color rgb="FFFF0000"/>
        <rFont val="Calibri"/>
        <family val="2"/>
      </rPr>
      <t>(Ret Customer) TAKING ON CRUISE</t>
    </r>
  </si>
  <si>
    <t>Marie Cirafesi</t>
  </si>
  <si>
    <t>mcirafesi@aol.com</t>
  </si>
  <si>
    <t>Jan-6-14</t>
  </si>
  <si>
    <t>May 3 to May 9-became may 10</t>
  </si>
  <si>
    <t>A/D/F1/B/F2/REC/T/RR/T</t>
  </si>
  <si>
    <t>A/D/F1/B/F2/T/RR</t>
  </si>
  <si>
    <t>Lisa Donelly</t>
  </si>
  <si>
    <t>lapdonnelly@verizon.net</t>
  </si>
  <si>
    <t>June 7 to June 14</t>
  </si>
  <si>
    <t>4 inc 2 children (4 other will visit onece overnight)</t>
  </si>
  <si>
    <t>Apr-19-14</t>
  </si>
  <si>
    <t>5 incc 3 children</t>
  </si>
  <si>
    <t>Apr-5-14</t>
  </si>
  <si>
    <t>May 29 to June 7</t>
  </si>
  <si>
    <r>
      <t xml:space="preserve">Edward Peery </t>
    </r>
    <r>
      <rPr>
        <b/>
        <sz val="11"/>
        <color rgb="FFFF0000"/>
        <rFont val="Calibri"/>
        <family val="2"/>
        <scheme val="minor"/>
      </rPr>
      <t>RETURNING GUEST</t>
    </r>
  </si>
  <si>
    <t>3 inc 1 child  DISCOUNT WAS $1,593</t>
  </si>
  <si>
    <t>3 Inc 0 children --NEED POOL RELEASES</t>
  </si>
  <si>
    <t>Karin and Martin Baumgartner</t>
  </si>
  <si>
    <t>baeumli1971@bluewin.ch</t>
  </si>
  <si>
    <t>June 14 to June 20</t>
  </si>
  <si>
    <t>Sep 27 (on boat) to Sep 29</t>
  </si>
  <si>
    <t>Mar 2 to Mar 8</t>
  </si>
  <si>
    <t xml:space="preserve">Oct 11 to 17, Dag and Jason Oct 1414 </t>
  </si>
  <si>
    <t>Brian Kremer</t>
  </si>
  <si>
    <t>BKremer@arrow-capital.com</t>
  </si>
  <si>
    <t>Dec 1 to Dec 10</t>
  </si>
  <si>
    <t>Oct-6-13</t>
  </si>
  <si>
    <r>
      <t xml:space="preserve">Clean </t>
    </r>
    <r>
      <rPr>
        <sz val="10"/>
        <color indexed="10"/>
        <rFont val="Verdana"/>
        <family val="2"/>
      </rPr>
      <t>Exit and midstay</t>
    </r>
  </si>
  <si>
    <t>Jan 4 bill the balance of 2343 all else done****Aug 3 2013 BILL ANOTHER $697 that compleats the deposit of $1197 then on Jan 4 bill the balance of 2343</t>
  </si>
  <si>
    <r>
      <t>A/D/F1/B/F2/</t>
    </r>
    <r>
      <rPr>
        <sz val="11"/>
        <rFont val="Calibri"/>
        <family val="2"/>
        <scheme val="minor"/>
      </rPr>
      <t>T</t>
    </r>
  </si>
  <si>
    <t>REFUNDED DEPOSIT TO owenconnah@hotmail.com nancy@trustfido.co.uk nancy.collantine@fidopr.co.uk</t>
  </si>
  <si>
    <t>Rachel Woodfield</t>
  </si>
  <si>
    <t>rachelwoodfield123@btinternet.com</t>
  </si>
  <si>
    <t>lisa clements</t>
  </si>
  <si>
    <t>lisaclements247@gmail.com</t>
  </si>
  <si>
    <t>12 Aug to 22 Aug</t>
  </si>
  <si>
    <t>June-17-14</t>
  </si>
  <si>
    <t>A/D/F1/B/F2/T/POSTED REVIEW</t>
  </si>
  <si>
    <t>Hope Bank</t>
  </si>
  <si>
    <t>Oct-22-13</t>
  </si>
  <si>
    <t>fromhopebank@gmail.com --&gt; for PayPal mitch@mycruiseclub.com</t>
  </si>
  <si>
    <t>D/A/F1</t>
  </si>
  <si>
    <t>PIGS left shit and urine on our bed….A/D/F1/B/F2/TRANSFER DONE</t>
  </si>
  <si>
    <t>November 15 to 22</t>
  </si>
  <si>
    <r>
      <t>Bernadette Walsh</t>
    </r>
    <r>
      <rPr>
        <b/>
        <sz val="11"/>
        <color rgb="FFFF0000"/>
        <rFont val="Calibri"/>
        <family val="2"/>
        <scheme val="minor"/>
      </rPr>
      <t xml:space="preserve"> (Returning Guest)</t>
    </r>
  </si>
  <si>
    <t>DONE Jan-18-14</t>
  </si>
  <si>
    <t>Dec 25 to Jan 5 but Dag and Jason back Jan 1 then back again Jan 3 then we all go to NY Jan 5 (CLEN Jn 3, 17, 31 Jan, then 14 , and 24th of Feb then March 2 (clients moving in)</t>
  </si>
  <si>
    <t>23 May ro 26 May CLEAN MAY 27</t>
  </si>
  <si>
    <r>
      <t xml:space="preserve">20 Jun to </t>
    </r>
    <r>
      <rPr>
        <sz val="14"/>
        <rFont val="Calibri"/>
        <family val="2"/>
        <scheme val="minor"/>
      </rPr>
      <t>24</t>
    </r>
    <r>
      <rPr>
        <b/>
        <sz val="14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Jun</t>
    </r>
  </si>
  <si>
    <t>REFUNDED</t>
  </si>
  <si>
    <t>Diane horan</t>
  </si>
  <si>
    <t>diane.horan2@gmail.com</t>
  </si>
  <si>
    <t>Jan-18-14</t>
  </si>
  <si>
    <r>
      <t xml:space="preserve">Brian Reid </t>
    </r>
    <r>
      <rPr>
        <b/>
        <sz val="11"/>
        <color rgb="FFFF0000"/>
        <rFont val="Calibri"/>
        <family val="2"/>
      </rPr>
      <t>(Ret Customer)</t>
    </r>
  </si>
  <si>
    <t xml:space="preserve">4 inc 2 children </t>
  </si>
  <si>
    <t>25 Jun to Jul 5</t>
  </si>
  <si>
    <t>Apr-30-14</t>
  </si>
  <si>
    <t>Jul 12 to Aug 2</t>
  </si>
  <si>
    <t>July 5 to July 12</t>
  </si>
  <si>
    <t>Margaret Cuzzi</t>
  </si>
  <si>
    <t>maggiecuzzi@aol.com</t>
  </si>
  <si>
    <t>5 inc 1 children</t>
  </si>
  <si>
    <t>May-10-14</t>
  </si>
  <si>
    <r>
      <t>A/D/F1/B/F2/</t>
    </r>
    <r>
      <rPr>
        <sz val="11"/>
        <color rgb="FFFF0000"/>
        <rFont val="Calibri"/>
        <family val="2"/>
        <scheme val="minor"/>
      </rPr>
      <t>KEPT DEPOSIT FOR NEXT YEAR</t>
    </r>
  </si>
  <si>
    <r>
      <rPr>
        <b/>
        <sz val="11"/>
        <color rgb="FFFF0000"/>
        <rFont val="Calibri"/>
        <family val="2"/>
        <scheme val="minor"/>
      </rPr>
      <t>HAD A DOG DO NOT ALLOW BACK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Dec 17 to Dec 25</t>
    </r>
  </si>
  <si>
    <t>August 29 to Sep 1 CLEN SEP 2</t>
  </si>
  <si>
    <t>4 adults</t>
  </si>
  <si>
    <t>VB</t>
  </si>
  <si>
    <t>November 25 to 30</t>
  </si>
  <si>
    <t>November 24 to 29</t>
  </si>
  <si>
    <t>genorman@btinternet.com</t>
  </si>
  <si>
    <t>Geon and Gordon Norman</t>
  </si>
  <si>
    <t>sep-2-15</t>
  </si>
  <si>
    <r>
      <t>4 adults</t>
    </r>
    <r>
      <rPr>
        <b/>
        <sz val="11"/>
        <color rgb="FFFF0000"/>
        <rFont val="Calibri"/>
        <family val="2"/>
        <scheme val="minor"/>
      </rPr>
      <t>*** PUT IN OWNERSDIRECT</t>
    </r>
  </si>
  <si>
    <r>
      <t xml:space="preserve">21 nights      </t>
    </r>
    <r>
      <rPr>
        <b/>
        <sz val="11"/>
        <color rgb="FFFF0000"/>
        <rFont val="Calibri"/>
        <family val="2"/>
        <scheme val="minor"/>
      </rPr>
      <t xml:space="preserve">somewehere </t>
    </r>
    <r>
      <rPr>
        <sz val="11"/>
        <color rgb="FFFF0000"/>
        <rFont val="Calibri"/>
        <family val="2"/>
        <scheme val="minor"/>
      </rPr>
      <t xml:space="preserve">          from 28 Oct to 24 Nov   but ONLY 21</t>
    </r>
  </si>
  <si>
    <t>Debbie Clow</t>
  </si>
  <si>
    <t>debra_clow@yahoo.co.uk</t>
  </si>
  <si>
    <t>22 Aug to 28 Aug</t>
  </si>
  <si>
    <t>June-27-14</t>
  </si>
  <si>
    <t>Anita Yoder</t>
  </si>
  <si>
    <t>strawhat899@gmail.com</t>
  </si>
  <si>
    <t>Dec 17 to Dec 23</t>
  </si>
  <si>
    <t>36 adults 3 children</t>
  </si>
  <si>
    <t>Nov 30 to Dec 7</t>
  </si>
  <si>
    <r>
      <t>Brian Kremer (</t>
    </r>
    <r>
      <rPr>
        <b/>
        <sz val="11"/>
        <color rgb="FFFF0000"/>
        <rFont val="Calibri"/>
        <family val="2"/>
      </rPr>
      <t>ret Guest</t>
    </r>
    <r>
      <rPr>
        <sz val="11"/>
        <rFont val="Calibri"/>
        <family val="2"/>
      </rPr>
      <t>)</t>
    </r>
  </si>
  <si>
    <t>5 inc 2 childen</t>
  </si>
  <si>
    <r>
      <rPr>
        <b/>
        <sz val="11"/>
        <color rgb="FFFF0000"/>
        <rFont val="Calibri"/>
        <family val="2"/>
        <scheme val="minor"/>
      </rPr>
      <t>CHANGE</t>
    </r>
    <r>
      <rPr>
        <sz val="11"/>
        <color theme="1"/>
        <rFont val="Calibri"/>
        <family val="2"/>
        <scheme val="minor"/>
      </rPr>
      <t xml:space="preserve"> Oct 20 to Nov 3</t>
    </r>
  </si>
  <si>
    <t>Nov 3 to Nov 11</t>
  </si>
  <si>
    <t>Shawm44@sbcglobal.net</t>
  </si>
  <si>
    <t>Margaret Shaw</t>
  </si>
  <si>
    <t>D/A-NEED POOL RELEASES</t>
  </si>
  <si>
    <t>April 20 to April 26</t>
  </si>
  <si>
    <t>paulylong@gmail.com</t>
  </si>
  <si>
    <t>Paul Long</t>
  </si>
  <si>
    <t>10 inc 5 children</t>
  </si>
  <si>
    <r>
      <rPr>
        <sz val="11"/>
        <rFont val="Calibri"/>
        <family val="2"/>
        <scheme val="minor"/>
      </rPr>
      <t>Driving in on the 18th Staying on the boat drop off car 11AM</t>
    </r>
    <r>
      <rPr>
        <sz val="11"/>
        <color rgb="FFFF0000"/>
        <rFont val="Calibri"/>
        <family val="2"/>
        <scheme val="minor"/>
      </rPr>
      <t xml:space="preserve">  ON 19th STAYING ON BOAT NIGHT BEFORE) leaving on</t>
    </r>
    <r>
      <rPr>
        <b/>
        <sz val="11"/>
        <color rgb="FFFF0000"/>
        <rFont val="Calibri"/>
        <family val="2"/>
        <scheme val="minor"/>
      </rPr>
      <t xml:space="preserve"> Apr Sunday 20 11AM.</t>
    </r>
  </si>
  <si>
    <t>3 inc 1  child</t>
  </si>
  <si>
    <t>2016 to Feb 28 Guests must arrive 29 OR 28 Late</t>
  </si>
  <si>
    <t>Feb 22 to Mar 13</t>
  </si>
  <si>
    <t>oninnaz@aol.com</t>
  </si>
  <si>
    <t>john zannino</t>
  </si>
  <si>
    <t>Dec-28-14</t>
  </si>
  <si>
    <t>March 29  to April 5 (stay on boat night before..IF WE ARE BOOKED   (mar 28) dag not coming untill April 2 but driving us into WP airport)</t>
  </si>
  <si>
    <t>Dec 25 to Jan 4 For LATE leaving day before</t>
  </si>
  <si>
    <t>Jan 15 to Jan 19 for late leaving day before</t>
  </si>
  <si>
    <t>Jan 29 to Jan  Feb 1 for late leaving day before</t>
  </si>
  <si>
    <t>Feb 12 to 22 for late leaving day before Dag go home 16th then come back 19th</t>
  </si>
  <si>
    <t>March 18 to March 27 bur dag comes on march 24</t>
  </si>
  <si>
    <t>May 2 to May 16</t>
  </si>
  <si>
    <t>Elizabeth Bestum</t>
  </si>
  <si>
    <t>Mar-7-15</t>
  </si>
  <si>
    <t>A/D/F1/B/F2/RR/GOTIT</t>
  </si>
  <si>
    <r>
      <t>Marianne Meijer (</t>
    </r>
    <r>
      <rPr>
        <b/>
        <sz val="11"/>
        <color rgb="FFFF0000"/>
        <rFont val="Calibri"/>
        <family val="2"/>
        <scheme val="minor"/>
      </rPr>
      <t>KEEP BREAKAGE DEPOSIT TOWARDS NEXT YEARS DEPOSIT) (ret guest)</t>
    </r>
  </si>
  <si>
    <t>3 inc 1 child DISCOUNT WAS $2,923</t>
  </si>
  <si>
    <t>Jul-14-15</t>
  </si>
  <si>
    <r>
      <rPr>
        <b/>
        <sz val="11"/>
        <color rgb="FF39E709"/>
        <rFont val="Calibri"/>
        <family val="2"/>
        <scheme val="minor"/>
      </rPr>
      <t>CH</t>
    </r>
    <r>
      <rPr>
        <b/>
        <sz val="11"/>
        <color rgb="FFFF0000"/>
        <rFont val="Calibri"/>
        <family val="2"/>
        <scheme val="minor"/>
      </rPr>
      <t xml:space="preserve">AMPAGN (30th Aniversery) </t>
    </r>
    <r>
      <rPr>
        <sz val="11"/>
        <color theme="1"/>
        <rFont val="Calibri"/>
        <family val="2"/>
        <scheme val="minor"/>
      </rPr>
      <t>Marianne Meijer</t>
    </r>
    <r>
      <rPr>
        <b/>
        <sz val="11"/>
        <color rgb="FFFF0000"/>
        <rFont val="Calibri"/>
        <family val="2"/>
        <scheme val="minor"/>
      </rPr>
      <t xml:space="preserve"> (ret guest) Kept last years breakage toward initial deposit  see emails for details</t>
    </r>
  </si>
  <si>
    <t>A/D/F1/B/F2/RR</t>
  </si>
  <si>
    <r>
      <t xml:space="preserve">Paul  Ward </t>
    </r>
    <r>
      <rPr>
        <sz val="11"/>
        <color rgb="FFFF0000"/>
        <rFont val="Calibri"/>
        <family val="2"/>
        <scheme val="minor"/>
      </rPr>
      <t xml:space="preserve"> (RC) Kept 500 deposit as the deposit SEE E-MAIL</t>
    </r>
  </si>
  <si>
    <t>April 5 to 12 (chrage only up to 11) discounted from $1,838 + payPal</t>
  </si>
  <si>
    <t>Feb-8-15</t>
  </si>
  <si>
    <t>April 15 to April 19</t>
  </si>
  <si>
    <t>Brian Waddell</t>
  </si>
  <si>
    <t>Brian.waddell@marconpk.com</t>
  </si>
  <si>
    <t>March 22 to March 29</t>
  </si>
  <si>
    <t>Jan-25-15</t>
  </si>
  <si>
    <t>Dawn cross</t>
  </si>
  <si>
    <t>pi5imob@talktalk.net</t>
  </si>
  <si>
    <t>28 Sep to 9 Oct</t>
  </si>
  <si>
    <t>Aug-2-14</t>
  </si>
  <si>
    <t>A/D/F1/B/F2/RR… TRANSFER DONE TO SON blong06@yahoo.com</t>
  </si>
  <si>
    <t>Kevin and Shayna Hamma</t>
  </si>
  <si>
    <t>shaynahamma@yahoo.com</t>
  </si>
  <si>
    <t>June 1 to June 8</t>
  </si>
  <si>
    <t>June 11 to June 21</t>
  </si>
  <si>
    <t>April-16-15</t>
  </si>
  <si>
    <t>April-6-15</t>
  </si>
  <si>
    <t>Dec 25 to Dec 31</t>
  </si>
  <si>
    <t>January 16 to January 19</t>
  </si>
  <si>
    <t>Feb 13 Feb to 22 (but dag leaves on the 17th)</t>
  </si>
  <si>
    <t>January 30, to Feb 2 LEAVING FEB 1 BUT LATE</t>
  </si>
  <si>
    <t>June 25 EARLY to June 29 LATE clean on 30th</t>
  </si>
  <si>
    <t>September 4 to Sep 8 Leaving on 7th LATE clean next day</t>
  </si>
  <si>
    <t>October 9 to Oct 13 leaving on the 12th CLEAN NEXT DAY</t>
  </si>
  <si>
    <t>April 8 to April 17</t>
  </si>
  <si>
    <t>May 27 to May 30 CLEAN ON 31 MAY</t>
  </si>
  <si>
    <r>
      <t xml:space="preserve">1 January to 4 January                                       1 Jan to Feb 22 or 1 Mar </t>
    </r>
    <r>
      <rPr>
        <sz val="11"/>
        <color rgb="FFFF0000"/>
        <rFont val="Calibri"/>
        <family val="2"/>
        <scheme val="minor"/>
      </rPr>
      <t xml:space="preserve">(us 1 Jan to 4 Jan, 16 Jan to 19 Jan 30 Jan to 1, Feb 13 Feb to 22 (but dag leaves on the 17th), … </t>
    </r>
    <r>
      <rPr>
        <b/>
        <sz val="11"/>
        <color rgb="FFFF0000"/>
        <rFont val="Calibri"/>
        <family val="2"/>
        <scheme val="minor"/>
      </rPr>
      <t>MAYBE Feb 27 to Mar 1 closing NO GUETS ALLOWED UNTIL MARCH 2--- IF THE PEOPLE DON't TAKE THE WEEK</t>
    </r>
  </si>
  <si>
    <t>A/D/F1/B/F2/KEEP 500 DEP for NEXT YEAR.</t>
  </si>
  <si>
    <t>Sep 8 to Sep 29</t>
  </si>
  <si>
    <t>CHABGE Dec 8 to Dec 15</t>
  </si>
  <si>
    <t>May -8-15</t>
  </si>
  <si>
    <t>July 3 to Jul 11</t>
  </si>
  <si>
    <t>Alan Packard</t>
  </si>
  <si>
    <t>alan.packard@rogers.com</t>
  </si>
  <si>
    <t>Feb 2 to Feb 13</t>
  </si>
  <si>
    <t>Dec-8-14</t>
  </si>
  <si>
    <t>D/</t>
  </si>
  <si>
    <t>Annie</t>
  </si>
  <si>
    <t>Sep 20 to Sep 26 OVERLAPPING US</t>
  </si>
  <si>
    <t>1 Adult</t>
  </si>
  <si>
    <r>
      <t>Sep 25 to Sep 28</t>
    </r>
    <r>
      <rPr>
        <b/>
        <sz val="11"/>
        <color rgb="FFFF0000"/>
        <rFont val="Calibri"/>
        <family val="2"/>
        <scheme val="minor"/>
      </rPr>
      <t xml:space="preserve"> (should be Rosh Hashana on the 25 and I think 26?????) </t>
    </r>
  </si>
  <si>
    <t>A/D/F1/B/F2/T+RR</t>
  </si>
  <si>
    <t>JANUARY DATES HAVE BEEN TRUNKATED ON HOMEAWAY TO REFLECT ACTUALL LEAVING DAY NOT THE DAY AFTER TO SEE IF WE CAN GET A LONGER BOOKING…ADJUST AS WE GO ALONG...</t>
  </si>
  <si>
    <t>A/D/F1/B/F2/ KEEP DEPOSIT for next year.</t>
  </si>
  <si>
    <t>A/D/F1/B/F2/RR + T INFO</t>
  </si>
  <si>
    <t>15 Aug to 29 Aug</t>
  </si>
  <si>
    <t>June-20-15</t>
  </si>
  <si>
    <t>July 18 to August 15</t>
  </si>
  <si>
    <t>Brian.Reid@pcbank.ca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</si>
</sst>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49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0"/>
      <name val="Verdana"/>
      <family val="2"/>
    </font>
    <font>
      <sz val="10"/>
      <color indexed="10"/>
      <name val="Verdana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2"/>
      <name val="Calibri"/>
      <family val="2"/>
    </font>
    <font>
      <sz val="12"/>
      <color indexed="63"/>
      <name val="Calibri"/>
      <family val="2"/>
    </font>
    <font>
      <sz val="12"/>
      <color indexed="8"/>
      <name val="Calibri"/>
      <family val="2"/>
    </font>
    <font>
      <sz val="12"/>
      <color indexed="8"/>
      <name val="Segoe UI"/>
      <family val="2"/>
    </font>
    <font>
      <sz val="12"/>
      <color indexed="63"/>
      <name val="Segoe UI"/>
      <family val="2"/>
    </font>
    <font>
      <sz val="10"/>
      <color indexed="8"/>
      <name val="Segoe UI"/>
      <family val="2"/>
    </font>
    <font>
      <b/>
      <sz val="12"/>
      <color indexed="10"/>
      <name val="Verdana"/>
      <family val="2"/>
    </font>
    <font>
      <sz val="11"/>
      <color indexed="63"/>
      <name val="Calibri"/>
      <family val="2"/>
    </font>
    <font>
      <sz val="11"/>
      <color indexed="8"/>
      <name val="Arial"/>
      <family val="2"/>
    </font>
    <font>
      <b/>
      <sz val="18"/>
      <color indexed="10"/>
      <name val="Calibri"/>
      <family val="2"/>
    </font>
    <font>
      <b/>
      <sz val="11"/>
      <color indexed="8"/>
      <name val="Calibri"/>
      <family val="2"/>
    </font>
    <font>
      <sz val="14"/>
      <color indexed="10"/>
      <name val="Calibri"/>
      <family val="2"/>
    </font>
    <font>
      <b/>
      <sz val="10"/>
      <color indexed="10"/>
      <name val="Verdana"/>
      <family val="2"/>
    </font>
    <font>
      <sz val="12"/>
      <color indexed="8"/>
      <name val="Times New Roman"/>
      <family val="1"/>
    </font>
    <font>
      <sz val="9.1"/>
      <color indexed="63"/>
      <name val="Segoe UI"/>
      <family val="2"/>
    </font>
    <font>
      <sz val="8"/>
      <name val="Calibri"/>
      <family val="2"/>
    </font>
    <font>
      <u/>
      <sz val="8.8000000000000007"/>
      <color theme="1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63"/>
      <name val="Calibri"/>
      <family val="2"/>
      <scheme val="minor"/>
    </font>
    <font>
      <sz val="11"/>
      <color rgb="FF2A2A2A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rgb="FF1F497D"/>
      <name val="Calibri"/>
      <family val="2"/>
    </font>
    <font>
      <b/>
      <u/>
      <sz val="11"/>
      <color rgb="FFFF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2"/>
      <color rgb="FF000000"/>
      <name val="Times New Roman"/>
      <family val="1"/>
    </font>
    <font>
      <sz val="11"/>
      <color indexed="10"/>
      <name val="Calibri"/>
      <family val="2"/>
      <scheme val="minor"/>
    </font>
    <font>
      <b/>
      <sz val="11"/>
      <color rgb="FFFF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2A2A2A"/>
      <name val="Calibri"/>
      <family val="2"/>
      <scheme val="minor"/>
    </font>
    <font>
      <b/>
      <sz val="10"/>
      <color indexed="8"/>
      <name val="Segoe UI"/>
      <family val="2"/>
    </font>
    <font>
      <sz val="11"/>
      <color rgb="FF333333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666666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39E709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9E70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03">
    <xf numFmtId="0" fontId="0" fillId="0" borderId="0" xfId="0"/>
    <xf numFmtId="0" fontId="0" fillId="0" borderId="0" xfId="0" applyAlignment="1">
      <alignment horizontal="right"/>
    </xf>
    <xf numFmtId="10" fontId="0" fillId="0" borderId="0" xfId="0" applyNumberFormat="1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horizontal="left"/>
    </xf>
    <xf numFmtId="16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Font="1"/>
    <xf numFmtId="0" fontId="13" fillId="0" borderId="0" xfId="0" applyFont="1"/>
    <xf numFmtId="0" fontId="0" fillId="0" borderId="0" xfId="0" applyFont="1" applyAlignment="1">
      <alignment horizontal="right"/>
    </xf>
    <xf numFmtId="0" fontId="14" fillId="0" borderId="0" xfId="0" applyFont="1"/>
    <xf numFmtId="0" fontId="0" fillId="2" borderId="0" xfId="0" applyFill="1"/>
    <xf numFmtId="0" fontId="0" fillId="2" borderId="0" xfId="0" applyFont="1" applyFill="1"/>
    <xf numFmtId="0" fontId="5" fillId="2" borderId="0" xfId="0" applyFont="1" applyFill="1"/>
    <xf numFmtId="0" fontId="0" fillId="2" borderId="0" xfId="0" applyFill="1" applyAlignment="1">
      <alignment horizontal="left"/>
    </xf>
    <xf numFmtId="0" fontId="2" fillId="2" borderId="0" xfId="0" applyFont="1" applyFill="1"/>
    <xf numFmtId="0" fontId="0" fillId="2" borderId="0" xfId="0" applyFill="1" applyAlignment="1">
      <alignment horizontal="right"/>
    </xf>
    <xf numFmtId="16" fontId="0" fillId="2" borderId="0" xfId="0" applyNumberFormat="1" applyFill="1" applyAlignment="1">
      <alignment horizontal="right"/>
    </xf>
    <xf numFmtId="0" fontId="1" fillId="2" borderId="0" xfId="0" applyFont="1" applyFill="1" applyAlignment="1">
      <alignment horizontal="right"/>
    </xf>
    <xf numFmtId="0" fontId="15" fillId="3" borderId="0" xfId="0" applyFont="1" applyFill="1"/>
    <xf numFmtId="0" fontId="5" fillId="3" borderId="0" xfId="0" applyFont="1" applyFill="1"/>
    <xf numFmtId="0" fontId="0" fillId="3" borderId="0" xfId="0" applyFont="1" applyFill="1"/>
    <xf numFmtId="0" fontId="0" fillId="3" borderId="0" xfId="0" applyFill="1"/>
    <xf numFmtId="0" fontId="0" fillId="3" borderId="0" xfId="0" applyFill="1" applyAlignment="1">
      <alignment horizontal="left"/>
    </xf>
    <xf numFmtId="0" fontId="2" fillId="3" borderId="0" xfId="0" applyFont="1" applyFill="1"/>
    <xf numFmtId="0" fontId="0" fillId="3" borderId="0" xfId="0" applyFill="1" applyAlignment="1">
      <alignment horizontal="right"/>
    </xf>
    <xf numFmtId="16" fontId="0" fillId="3" borderId="0" xfId="0" applyNumberFormat="1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4" borderId="0" xfId="0" applyFill="1"/>
    <xf numFmtId="0" fontId="0" fillId="4" borderId="0" xfId="0" applyFont="1" applyFill="1"/>
    <xf numFmtId="0" fontId="5" fillId="4" borderId="0" xfId="0" applyFont="1" applyFill="1"/>
    <xf numFmtId="0" fontId="0" fillId="4" borderId="0" xfId="0" applyFill="1" applyAlignment="1">
      <alignment horizontal="left"/>
    </xf>
    <xf numFmtId="0" fontId="2" fillId="4" borderId="0" xfId="0" applyFont="1" applyFill="1"/>
    <xf numFmtId="0" fontId="0" fillId="4" borderId="0" xfId="0" applyFill="1" applyAlignment="1">
      <alignment horizontal="right"/>
    </xf>
    <xf numFmtId="16" fontId="0" fillId="4" borderId="0" xfId="0" applyNumberFormat="1" applyFill="1" applyAlignment="1">
      <alignment horizontal="right"/>
    </xf>
    <xf numFmtId="0" fontId="1" fillId="4" borderId="0" xfId="0" applyFont="1" applyFill="1" applyAlignment="1">
      <alignment horizontal="right"/>
    </xf>
    <xf numFmtId="0" fontId="0" fillId="5" borderId="0" xfId="0" applyFill="1"/>
    <xf numFmtId="0" fontId="0" fillId="5" borderId="0" xfId="0" applyFont="1" applyFill="1"/>
    <xf numFmtId="0" fontId="0" fillId="5" borderId="0" xfId="0" applyFill="1" applyAlignment="1">
      <alignment horizontal="left"/>
    </xf>
    <xf numFmtId="0" fontId="1" fillId="5" borderId="0" xfId="0" applyFont="1" applyFill="1" applyAlignment="1">
      <alignment horizontal="right"/>
    </xf>
    <xf numFmtId="0" fontId="0" fillId="5" borderId="0" xfId="0" applyFill="1" applyAlignment="1">
      <alignment horizontal="right"/>
    </xf>
    <xf numFmtId="0" fontId="0" fillId="6" borderId="0" xfId="0" applyFill="1" applyAlignment="1">
      <alignment horizontal="right"/>
    </xf>
    <xf numFmtId="0" fontId="0" fillId="6" borderId="0" xfId="0" applyFill="1"/>
    <xf numFmtId="0" fontId="16" fillId="0" borderId="0" xfId="0" applyFont="1" applyAlignment="1">
      <alignment horizontal="right"/>
    </xf>
    <xf numFmtId="164" fontId="0" fillId="0" borderId="0" xfId="0" applyNumberFormat="1"/>
    <xf numFmtId="0" fontId="1" fillId="0" borderId="0" xfId="0" applyFont="1"/>
    <xf numFmtId="0" fontId="13" fillId="0" borderId="0" xfId="0" applyFont="1" applyAlignment="1"/>
    <xf numFmtId="2" fontId="17" fillId="0" borderId="0" xfId="0" applyNumberFormat="1" applyFont="1"/>
    <xf numFmtId="16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4" fillId="5" borderId="0" xfId="0" applyFont="1" applyFill="1"/>
    <xf numFmtId="0" fontId="1" fillId="5" borderId="0" xfId="0" applyFont="1" applyFill="1"/>
    <xf numFmtId="0" fontId="4" fillId="5" borderId="0" xfId="0" applyFont="1" applyFill="1" applyAlignment="1">
      <alignment horizontal="right"/>
    </xf>
    <xf numFmtId="2" fontId="16" fillId="0" borderId="0" xfId="0" applyNumberFormat="1" applyFont="1"/>
    <xf numFmtId="0" fontId="0" fillId="0" borderId="0" xfId="0" applyAlignment="1">
      <alignment horizontal="center"/>
    </xf>
    <xf numFmtId="0" fontId="0" fillId="7" borderId="0" xfId="0" applyFill="1" applyAlignment="1">
      <alignment horizontal="right"/>
    </xf>
    <xf numFmtId="0" fontId="1" fillId="0" borderId="0" xfId="0" applyFont="1" applyFill="1" applyAlignment="1">
      <alignment horizontal="right"/>
    </xf>
    <xf numFmtId="0" fontId="0" fillId="0" borderId="0" xfId="0" applyFont="1" applyAlignment="1">
      <alignment horizontal="center"/>
    </xf>
    <xf numFmtId="0" fontId="0" fillId="5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1" fontId="0" fillId="3" borderId="0" xfId="0" applyNumberFormat="1" applyFill="1" applyAlignment="1">
      <alignment horizontal="right"/>
    </xf>
    <xf numFmtId="1" fontId="0" fillId="0" borderId="0" xfId="0" applyNumberFormat="1" applyAlignment="1">
      <alignment horizontal="right"/>
    </xf>
    <xf numFmtId="1" fontId="0" fillId="5" borderId="0" xfId="0" applyNumberFormat="1" applyFill="1" applyAlignment="1">
      <alignment horizontal="right"/>
    </xf>
    <xf numFmtId="1" fontId="0" fillId="2" borderId="0" xfId="0" applyNumberFormat="1" applyFill="1" applyAlignment="1">
      <alignment horizontal="right"/>
    </xf>
    <xf numFmtId="1" fontId="0" fillId="4" borderId="0" xfId="0" applyNumberFormat="1" applyFill="1" applyAlignment="1">
      <alignment horizontal="right"/>
    </xf>
    <xf numFmtId="1" fontId="0" fillId="0" borderId="0" xfId="0" applyNumberFormat="1"/>
    <xf numFmtId="165" fontId="0" fillId="0" borderId="0" xfId="0" applyNumberFormat="1"/>
    <xf numFmtId="0" fontId="1" fillId="3" borderId="0" xfId="0" applyFont="1" applyFill="1" applyAlignment="1">
      <alignment horizontal="left"/>
    </xf>
    <xf numFmtId="16" fontId="1" fillId="5" borderId="0" xfId="0" applyNumberFormat="1" applyFont="1" applyFill="1" applyAlignment="1">
      <alignment horizontal="left"/>
    </xf>
    <xf numFmtId="165" fontId="1" fillId="5" borderId="0" xfId="0" applyNumberFormat="1" applyFont="1" applyFill="1"/>
    <xf numFmtId="165" fontId="1" fillId="0" borderId="0" xfId="0" applyNumberFormat="1" applyFont="1"/>
    <xf numFmtId="165" fontId="1" fillId="5" borderId="0" xfId="0" applyNumberFormat="1" applyFont="1" applyFill="1" applyAlignment="1">
      <alignment horizontal="right"/>
    </xf>
    <xf numFmtId="16" fontId="1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right"/>
    </xf>
    <xf numFmtId="0" fontId="1" fillId="0" borderId="0" xfId="0" applyFont="1" applyFill="1"/>
    <xf numFmtId="1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/>
    </xf>
    <xf numFmtId="165" fontId="4" fillId="0" borderId="0" xfId="0" applyNumberFormat="1" applyFont="1"/>
    <xf numFmtId="0" fontId="4" fillId="0" borderId="0" xfId="0" applyFont="1"/>
    <xf numFmtId="0" fontId="1" fillId="3" borderId="0" xfId="0" applyFont="1" applyFill="1"/>
    <xf numFmtId="0" fontId="4" fillId="3" borderId="0" xfId="0" applyFont="1" applyFill="1" applyAlignment="1">
      <alignment horizontal="right"/>
    </xf>
    <xf numFmtId="1" fontId="0" fillId="3" borderId="0" xfId="0" applyNumberFormat="1" applyFill="1"/>
    <xf numFmtId="0" fontId="2" fillId="0" borderId="0" xfId="0" applyFont="1" applyFill="1"/>
    <xf numFmtId="0" fontId="0" fillId="0" borderId="0" xfId="0" applyFont="1" applyFill="1" applyAlignment="1">
      <alignment horizontal="center"/>
    </xf>
    <xf numFmtId="1" fontId="0" fillId="0" borderId="0" xfId="0" applyNumberFormat="1" applyFill="1"/>
    <xf numFmtId="0" fontId="22" fillId="0" borderId="0" xfId="1" applyAlignment="1" applyProtection="1"/>
    <xf numFmtId="0" fontId="19" fillId="0" borderId="0" xfId="0" applyFont="1" applyFill="1"/>
    <xf numFmtId="0" fontId="20" fillId="0" borderId="0" xfId="0" applyFont="1"/>
    <xf numFmtId="0" fontId="0" fillId="0" borderId="0" xfId="0" applyFill="1" applyAlignment="1">
      <alignment vertical="top"/>
    </xf>
    <xf numFmtId="0" fontId="5" fillId="8" borderId="0" xfId="0" applyFont="1" applyFill="1"/>
    <xf numFmtId="0" fontId="0" fillId="8" borderId="0" xfId="0" applyFont="1" applyFill="1"/>
    <xf numFmtId="0" fontId="23" fillId="8" borderId="0" xfId="0" applyFont="1" applyFill="1"/>
    <xf numFmtId="0" fontId="24" fillId="0" borderId="0" xfId="0" applyFont="1"/>
    <xf numFmtId="0" fontId="0" fillId="10" borderId="0" xfId="0" applyFill="1" applyAlignment="1">
      <alignment horizontal="right"/>
    </xf>
    <xf numFmtId="0" fontId="0" fillId="8" borderId="0" xfId="0" applyFill="1"/>
    <xf numFmtId="0" fontId="23" fillId="0" borderId="0" xfId="0" applyFont="1" applyFill="1" applyAlignment="1">
      <alignment horizontal="left"/>
    </xf>
    <xf numFmtId="0" fontId="27" fillId="8" borderId="0" xfId="0" applyFont="1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right"/>
    </xf>
    <xf numFmtId="0" fontId="25" fillId="0" borderId="0" xfId="0" applyFont="1" applyFill="1" applyAlignment="1">
      <alignment horizontal="left"/>
    </xf>
    <xf numFmtId="0" fontId="26" fillId="0" borderId="0" xfId="0" applyFont="1" applyFill="1"/>
    <xf numFmtId="0" fontId="0" fillId="12" borderId="0" xfId="0" applyFill="1"/>
    <xf numFmtId="0" fontId="0" fillId="13" borderId="0" xfId="0" applyFill="1"/>
    <xf numFmtId="0" fontId="0" fillId="9" borderId="0" xfId="0" applyFill="1"/>
    <xf numFmtId="0" fontId="0" fillId="11" borderId="0" xfId="0" applyFill="1"/>
    <xf numFmtId="16" fontId="5" fillId="0" borderId="0" xfId="0" applyNumberFormat="1" applyFont="1" applyFill="1" applyAlignment="1">
      <alignment horizontal="right"/>
    </xf>
    <xf numFmtId="0" fontId="28" fillId="0" borderId="0" xfId="0" applyFont="1" applyFill="1" applyAlignment="1">
      <alignment vertical="center"/>
    </xf>
    <xf numFmtId="0" fontId="5" fillId="0" borderId="0" xfId="0" applyFont="1" applyFill="1" applyAlignment="1"/>
    <xf numFmtId="0" fontId="0" fillId="14" borderId="0" xfId="0" applyFill="1"/>
    <xf numFmtId="0" fontId="13" fillId="0" borderId="0" xfId="0" applyFont="1" applyFill="1"/>
    <xf numFmtId="1" fontId="16" fillId="0" borderId="0" xfId="0" applyNumberFormat="1" applyFont="1" applyAlignment="1">
      <alignment horizontal="right"/>
    </xf>
    <xf numFmtId="1" fontId="1" fillId="5" borderId="0" xfId="0" applyNumberFormat="1" applyFont="1" applyFill="1" applyAlignment="1">
      <alignment horizontal="left"/>
    </xf>
    <xf numFmtId="1" fontId="5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left"/>
    </xf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6" borderId="0" xfId="0" applyFont="1" applyFill="1"/>
    <xf numFmtId="0" fontId="5" fillId="16" borderId="0" xfId="0" applyFont="1" applyFill="1"/>
    <xf numFmtId="0" fontId="4" fillId="16" borderId="0" xfId="0" applyFont="1" applyFill="1" applyAlignment="1">
      <alignment horizontal="right"/>
    </xf>
    <xf numFmtId="0" fontId="1" fillId="16" borderId="0" xfId="0" applyFont="1" applyFill="1"/>
    <xf numFmtId="0" fontId="4" fillId="16" borderId="0" xfId="0" applyFont="1" applyFill="1"/>
    <xf numFmtId="0" fontId="3" fillId="16" borderId="0" xfId="0" applyFont="1" applyFill="1"/>
    <xf numFmtId="165" fontId="1" fillId="16" borderId="0" xfId="0" applyNumberFormat="1" applyFont="1" applyFill="1" applyAlignment="1">
      <alignment horizontal="right"/>
    </xf>
    <xf numFmtId="0" fontId="0" fillId="16" borderId="0" xfId="0" applyFill="1" applyAlignment="1">
      <alignment horizontal="right"/>
    </xf>
    <xf numFmtId="165" fontId="1" fillId="16" borderId="0" xfId="0" applyNumberFormat="1" applyFont="1" applyFill="1"/>
    <xf numFmtId="16" fontId="1" fillId="16" borderId="0" xfId="0" applyNumberFormat="1" applyFont="1" applyFill="1" applyAlignment="1">
      <alignment horizontal="left"/>
    </xf>
    <xf numFmtId="1" fontId="1" fillId="16" borderId="0" xfId="0" applyNumberFormat="1" applyFont="1" applyFill="1" applyAlignment="1">
      <alignment horizontal="left"/>
    </xf>
    <xf numFmtId="1" fontId="0" fillId="16" borderId="0" xfId="0" applyNumberFormat="1" applyFill="1" applyAlignment="1">
      <alignment horizontal="right"/>
    </xf>
    <xf numFmtId="0" fontId="1" fillId="16" borderId="0" xfId="0" applyFont="1" applyFill="1" applyAlignment="1">
      <alignment horizontal="right"/>
    </xf>
    <xf numFmtId="0" fontId="0" fillId="16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29" fillId="0" borderId="0" xfId="0" applyFont="1" applyFill="1"/>
    <xf numFmtId="0" fontId="23" fillId="0" borderId="0" xfId="0" applyFont="1" applyFill="1"/>
    <xf numFmtId="0" fontId="26" fillId="0" borderId="0" xfId="0" applyFont="1"/>
    <xf numFmtId="0" fontId="30" fillId="16" borderId="0" xfId="0" applyFont="1" applyFill="1"/>
    <xf numFmtId="0" fontId="18" fillId="5" borderId="0" xfId="0" applyFont="1" applyFill="1"/>
    <xf numFmtId="165" fontId="5" fillId="0" borderId="0" xfId="0" applyNumberFormat="1" applyFont="1" applyFill="1" applyAlignment="1">
      <alignment horizontal="right"/>
    </xf>
    <xf numFmtId="16" fontId="0" fillId="0" borderId="0" xfId="0" applyNumberFormat="1" applyFont="1" applyFill="1" applyAlignment="1">
      <alignment horizontal="right"/>
    </xf>
    <xf numFmtId="1" fontId="0" fillId="0" borderId="0" xfId="0" applyNumberFormat="1" applyFont="1" applyFill="1" applyAlignment="1">
      <alignment horizontal="right"/>
    </xf>
    <xf numFmtId="1" fontId="0" fillId="0" borderId="0" xfId="0" applyNumberFormat="1" applyFont="1" applyFill="1"/>
    <xf numFmtId="0" fontId="23" fillId="0" borderId="0" xfId="0" applyFont="1" applyFill="1" applyAlignment="1">
      <alignment horizontal="right"/>
    </xf>
    <xf numFmtId="1" fontId="23" fillId="0" borderId="0" xfId="0" applyNumberFormat="1" applyFont="1" applyFill="1" applyAlignment="1">
      <alignment horizontal="right"/>
    </xf>
    <xf numFmtId="0" fontId="23" fillId="0" borderId="0" xfId="0" applyFont="1" applyFill="1" applyAlignment="1">
      <alignment horizontal="center"/>
    </xf>
    <xf numFmtId="1" fontId="23" fillId="0" borderId="0" xfId="0" applyNumberFormat="1" applyFont="1" applyFill="1"/>
    <xf numFmtId="0" fontId="27" fillId="0" borderId="0" xfId="0" applyFont="1" applyFill="1" applyAlignment="1">
      <alignment horizontal="right"/>
    </xf>
    <xf numFmtId="0" fontId="31" fillId="0" borderId="0" xfId="0" applyFont="1" applyFill="1"/>
    <xf numFmtId="0" fontId="23" fillId="10" borderId="0" xfId="0" applyFont="1" applyFill="1" applyAlignment="1">
      <alignment horizontal="right"/>
    </xf>
    <xf numFmtId="0" fontId="0" fillId="10" borderId="0" xfId="0" applyFont="1" applyFill="1" applyAlignment="1">
      <alignment horizontal="right"/>
    </xf>
    <xf numFmtId="0" fontId="26" fillId="0" borderId="0" xfId="0" applyFont="1" applyFill="1" applyAlignment="1">
      <alignment horizontal="right"/>
    </xf>
    <xf numFmtId="0" fontId="30" fillId="0" borderId="0" xfId="0" applyFont="1" applyFill="1" applyAlignment="1">
      <alignment horizontal="right"/>
    </xf>
    <xf numFmtId="0" fontId="29" fillId="0" borderId="0" xfId="0" applyFont="1"/>
    <xf numFmtId="0" fontId="0" fillId="14" borderId="0" xfId="0" applyFont="1" applyFill="1"/>
    <xf numFmtId="0" fontId="33" fillId="0" borderId="0" xfId="0" applyFont="1" applyAlignment="1"/>
    <xf numFmtId="0" fontId="5" fillId="8" borderId="0" xfId="0" applyFont="1" applyFill="1" applyAlignment="1">
      <alignment horizontal="left"/>
    </xf>
    <xf numFmtId="16" fontId="23" fillId="0" borderId="0" xfId="0" applyNumberFormat="1" applyFont="1" applyFill="1" applyAlignment="1">
      <alignment horizontal="right"/>
    </xf>
    <xf numFmtId="0" fontId="37" fillId="0" borderId="0" xfId="0" applyFont="1" applyFill="1"/>
    <xf numFmtId="0" fontId="38" fillId="0" borderId="0" xfId="0" applyFont="1" applyFill="1" applyAlignment="1">
      <alignment horizontal="right"/>
    </xf>
    <xf numFmtId="0" fontId="40" fillId="0" borderId="0" xfId="0" applyFont="1"/>
    <xf numFmtId="0" fontId="27" fillId="5" borderId="0" xfId="0" applyFont="1" applyFill="1" applyAlignment="1">
      <alignment horizontal="right"/>
    </xf>
    <xf numFmtId="0" fontId="0" fillId="0" borderId="0" xfId="0" applyFill="1" applyAlignment="1">
      <alignment vertical="center"/>
    </xf>
    <xf numFmtId="0" fontId="42" fillId="0" borderId="0" xfId="0" applyFont="1" applyFill="1"/>
    <xf numFmtId="0" fontId="41" fillId="0" borderId="0" xfId="0" applyFont="1" applyFill="1"/>
    <xf numFmtId="0" fontId="26" fillId="0" borderId="0" xfId="0" applyFont="1" applyFill="1" applyAlignment="1">
      <alignment horizontal="left"/>
    </xf>
    <xf numFmtId="0" fontId="43" fillId="0" borderId="0" xfId="0" applyFont="1"/>
    <xf numFmtId="0" fontId="34" fillId="0" borderId="0" xfId="0" applyFont="1" applyFill="1"/>
    <xf numFmtId="16" fontId="26" fillId="0" borderId="0" xfId="0" applyNumberFormat="1" applyFont="1" applyFill="1" applyAlignment="1">
      <alignment horizontal="left"/>
    </xf>
    <xf numFmtId="0" fontId="44" fillId="0" borderId="0" xfId="0" applyFont="1" applyFill="1"/>
    <xf numFmtId="0" fontId="24" fillId="0" borderId="0" xfId="0" applyFont="1" applyFill="1"/>
    <xf numFmtId="0" fontId="23" fillId="0" borderId="0" xfId="0" applyFont="1"/>
    <xf numFmtId="0" fontId="0" fillId="18" borderId="0" xfId="0" applyFill="1" applyAlignment="1">
      <alignment horizontal="left"/>
    </xf>
    <xf numFmtId="0" fontId="0" fillId="14" borderId="0" xfId="0" applyFill="1" applyAlignment="1">
      <alignment horizontal="right"/>
    </xf>
    <xf numFmtId="0" fontId="45" fillId="0" borderId="0" xfId="0" applyFont="1"/>
    <xf numFmtId="0" fontId="46" fillId="0" borderId="0" xfId="0" applyFont="1" applyFill="1"/>
    <xf numFmtId="0" fontId="47" fillId="0" borderId="0" xfId="0" applyFont="1" applyFill="1"/>
    <xf numFmtId="0" fontId="32" fillId="0" borderId="0" xfId="0" applyFont="1" applyFill="1" applyAlignment="1">
      <alignment horizontal="left"/>
    </xf>
    <xf numFmtId="16" fontId="0" fillId="0" borderId="0" xfId="0" applyNumberFormat="1" applyFill="1" applyAlignment="1"/>
    <xf numFmtId="0" fontId="0" fillId="19" borderId="0" xfId="0" applyFont="1" applyFill="1"/>
    <xf numFmtId="0" fontId="0" fillId="11" borderId="0" xfId="0" applyFont="1" applyFill="1"/>
    <xf numFmtId="0" fontId="26" fillId="5" borderId="0" xfId="0" applyFont="1" applyFill="1"/>
    <xf numFmtId="16" fontId="23" fillId="0" borderId="0" xfId="0" applyNumberFormat="1" applyFont="1" applyFill="1" applyAlignment="1">
      <alignment horizontal="left"/>
    </xf>
    <xf numFmtId="0" fontId="25" fillId="0" borderId="0" xfId="0" applyFont="1" applyFill="1"/>
    <xf numFmtId="0" fontId="0" fillId="11" borderId="0" xfId="0" applyFill="1" applyAlignment="1">
      <alignment horizontal="left"/>
    </xf>
    <xf numFmtId="0" fontId="26" fillId="8" borderId="0" xfId="0" applyFont="1" applyFill="1"/>
    <xf numFmtId="0" fontId="0" fillId="11" borderId="0" xfId="0" applyFill="1" applyAlignment="1">
      <alignment horizontal="right"/>
    </xf>
    <xf numFmtId="0" fontId="0" fillId="19" borderId="0" xfId="0" applyFill="1" applyAlignment="1">
      <alignment horizontal="right"/>
    </xf>
    <xf numFmtId="0" fontId="0" fillId="20" borderId="0" xfId="0" applyFill="1"/>
    <xf numFmtId="0" fontId="0" fillId="11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39E70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2"/>
  <sheetViews>
    <sheetView tabSelected="1" zoomScale="64" zoomScaleNormal="64" workbookViewId="0">
      <pane ySplit="15" topLeftCell="A185" activePane="bottomLeft" state="frozen"/>
      <selection pane="bottomLeft" activeCell="W203" sqref="W203"/>
    </sheetView>
  </sheetViews>
  <sheetFormatPr defaultRowHeight="15" x14ac:dyDescent="0.25"/>
  <cols>
    <col min="1" max="1" width="4.5703125" customWidth="1"/>
    <col min="2" max="2" width="26.7109375" customWidth="1"/>
    <col min="3" max="3" width="30.140625" customWidth="1"/>
    <col min="4" max="4" width="6.85546875" customWidth="1"/>
    <col min="5" max="6" width="6.85546875" hidden="1" customWidth="1"/>
    <col min="7" max="7" width="26.140625" customWidth="1"/>
    <col min="8" max="8" width="6.85546875" customWidth="1"/>
    <col min="9" max="9" width="1.85546875" customWidth="1"/>
    <col min="10" max="10" width="29.85546875" customWidth="1"/>
    <col min="11" max="11" width="6.140625" customWidth="1"/>
    <col min="12" max="12" width="16" style="5" customWidth="1"/>
    <col min="15" max="15" width="12.5703125" customWidth="1"/>
    <col min="16" max="16" width="10.42578125" customWidth="1"/>
    <col min="17" max="17" width="11.85546875" customWidth="1"/>
    <col min="18" max="18" width="11.5703125" customWidth="1"/>
    <col min="19" max="19" width="8.85546875" style="76" customWidth="1"/>
    <col min="20" max="20" width="13.85546875" customWidth="1"/>
    <col min="21" max="21" width="14.140625" customWidth="1"/>
    <col min="22" max="22" width="11.5703125" customWidth="1"/>
    <col min="23" max="23" width="24.5703125" customWidth="1"/>
    <col min="24" max="24" width="13.140625" customWidth="1"/>
    <col min="25" max="26" width="13.140625" hidden="1" customWidth="1"/>
    <col min="27" max="28" width="11.140625" customWidth="1"/>
    <col min="29" max="29" width="13.7109375" customWidth="1"/>
    <col min="30" max="30" width="0.140625" customWidth="1"/>
    <col min="31" max="32" width="11.42578125" customWidth="1"/>
    <col min="33" max="33" width="12.140625" customWidth="1"/>
    <col min="34" max="34" width="9.140625" hidden="1" customWidth="1"/>
    <col min="41" max="41" width="11.7109375" customWidth="1"/>
  </cols>
  <sheetData>
    <row r="1" spans="1:43" ht="14.45" x14ac:dyDescent="0.3">
      <c r="G1" s="1" t="s">
        <v>222</v>
      </c>
      <c r="M1" s="2">
        <v>0.1</v>
      </c>
      <c r="N1" t="s">
        <v>13</v>
      </c>
      <c r="Q1" s="7" t="s">
        <v>151</v>
      </c>
      <c r="Z1" t="s">
        <v>57</v>
      </c>
      <c r="AC1" t="s">
        <v>206</v>
      </c>
      <c r="AD1" s="3" t="s">
        <v>16</v>
      </c>
    </row>
    <row r="2" spans="1:43" ht="14.45" x14ac:dyDescent="0.3">
      <c r="B2" s="116" t="s">
        <v>345</v>
      </c>
      <c r="C2" s="19"/>
      <c r="G2" s="1" t="s">
        <v>224</v>
      </c>
      <c r="M2">
        <v>14</v>
      </c>
      <c r="N2" t="s">
        <v>5</v>
      </c>
      <c r="Q2" s="7" t="s">
        <v>150</v>
      </c>
      <c r="U2">
        <f>1838+84</f>
        <v>1922</v>
      </c>
      <c r="W2">
        <f>1324-500</f>
        <v>824</v>
      </c>
      <c r="AC2" t="s">
        <v>206</v>
      </c>
      <c r="AD2" s="3" t="s">
        <v>183</v>
      </c>
    </row>
    <row r="3" spans="1:43" ht="14.45" x14ac:dyDescent="0.3">
      <c r="B3" s="117" t="s">
        <v>346</v>
      </c>
      <c r="G3">
        <v>1120</v>
      </c>
      <c r="H3" s="54" t="s">
        <v>152</v>
      </c>
      <c r="I3" s="54"/>
      <c r="M3">
        <v>4</v>
      </c>
      <c r="N3" t="s">
        <v>6</v>
      </c>
      <c r="P3">
        <f>IF(M3&gt;6,8,15)</f>
        <v>15</v>
      </c>
      <c r="Q3">
        <f>15*M2*2*-1</f>
        <v>-420</v>
      </c>
      <c r="AC3" t="s">
        <v>206</v>
      </c>
      <c r="AD3" s="67" t="s">
        <v>227</v>
      </c>
    </row>
    <row r="4" spans="1:43" ht="14.45" x14ac:dyDescent="0.3">
      <c r="B4" s="118" t="s">
        <v>347</v>
      </c>
      <c r="G4">
        <v>1220</v>
      </c>
      <c r="H4" s="54"/>
      <c r="I4" s="54"/>
      <c r="M4">
        <v>0</v>
      </c>
      <c r="N4" t="s">
        <v>8</v>
      </c>
      <c r="O4">
        <f>IF(M2=7,1,1-(0.3*((M2/7)-1)))</f>
        <v>0.7</v>
      </c>
      <c r="P4">
        <f>IF(O4&gt;=0.5,O4,0.5)</f>
        <v>0.7</v>
      </c>
    </row>
    <row r="5" spans="1:43" ht="14.45" x14ac:dyDescent="0.3">
      <c r="B5" s="119" t="s">
        <v>348</v>
      </c>
      <c r="G5">
        <v>1320</v>
      </c>
      <c r="M5">
        <v>1</v>
      </c>
      <c r="N5" t="s">
        <v>15</v>
      </c>
    </row>
    <row r="6" spans="1:43" ht="14.45" x14ac:dyDescent="0.3">
      <c r="B6" s="123" t="s">
        <v>356</v>
      </c>
      <c r="D6" s="108" t="s">
        <v>486</v>
      </c>
      <c r="M6" s="167">
        <v>1</v>
      </c>
      <c r="N6" t="s">
        <v>126</v>
      </c>
      <c r="U6" s="36" t="s">
        <v>252</v>
      </c>
      <c r="X6" s="3" t="s">
        <v>17</v>
      </c>
      <c r="Y6" s="3"/>
      <c r="Z6" s="3"/>
    </row>
    <row r="7" spans="1:43" ht="23.45" x14ac:dyDescent="0.45">
      <c r="D7" s="108" t="s">
        <v>487</v>
      </c>
      <c r="G7" s="7" t="s">
        <v>225</v>
      </c>
      <c r="J7" s="1" t="s">
        <v>223</v>
      </c>
      <c r="L7" s="78" t="s">
        <v>253</v>
      </c>
      <c r="Q7" s="1" t="s">
        <v>4</v>
      </c>
      <c r="U7" s="36" t="s">
        <v>139</v>
      </c>
      <c r="V7" s="3"/>
      <c r="W7" s="52" t="s">
        <v>141</v>
      </c>
      <c r="X7" s="3" t="s">
        <v>140</v>
      </c>
      <c r="Y7" s="3"/>
      <c r="Z7" s="3"/>
      <c r="AA7" s="1" t="s">
        <v>1</v>
      </c>
      <c r="AB7" s="1"/>
      <c r="AC7" t="s">
        <v>142</v>
      </c>
      <c r="AE7" s="1" t="s">
        <v>1</v>
      </c>
      <c r="AF7" s="1"/>
    </row>
    <row r="8" spans="1:43" ht="14.45" x14ac:dyDescent="0.3">
      <c r="D8" s="108">
        <v>1</v>
      </c>
      <c r="G8" s="7" t="s">
        <v>221</v>
      </c>
      <c r="J8" s="1" t="s">
        <v>96</v>
      </c>
      <c r="L8" s="78" t="s">
        <v>139</v>
      </c>
      <c r="N8" s="1" t="s">
        <v>9</v>
      </c>
      <c r="O8" s="1" t="s">
        <v>10</v>
      </c>
      <c r="P8" s="1" t="s">
        <v>11</v>
      </c>
      <c r="Q8" s="1" t="s">
        <v>12</v>
      </c>
      <c r="R8" s="1" t="s">
        <v>0</v>
      </c>
      <c r="S8" s="72"/>
      <c r="T8" s="1"/>
      <c r="U8" s="36" t="s">
        <v>7</v>
      </c>
      <c r="V8" s="3" t="s">
        <v>442</v>
      </c>
      <c r="W8" s="1" t="s">
        <v>16</v>
      </c>
      <c r="X8" s="3" t="s">
        <v>16</v>
      </c>
      <c r="Y8" s="3"/>
      <c r="Z8" s="3"/>
      <c r="AA8" s="1" t="s">
        <v>2</v>
      </c>
      <c r="AB8" s="1"/>
      <c r="AC8" s="3" t="s">
        <v>143</v>
      </c>
      <c r="AE8" s="1" t="s">
        <v>3</v>
      </c>
      <c r="AF8" s="1"/>
    </row>
    <row r="9" spans="1:43" ht="18" x14ac:dyDescent="0.35">
      <c r="B9" t="s">
        <v>156</v>
      </c>
      <c r="D9">
        <v>1.1000000000000001</v>
      </c>
      <c r="G9">
        <f>1220*D9*1.04</f>
        <v>1395.68</v>
      </c>
      <c r="J9">
        <v>1020</v>
      </c>
      <c r="L9" s="5">
        <f>M9+Q9</f>
        <v>2371.36</v>
      </c>
      <c r="M9">
        <f>G9/7*$M$2</f>
        <v>2791.36</v>
      </c>
      <c r="N9">
        <f>IF($M$2&lt;=7,(100/7*$M$2*$M$5),(100+(($M$2-7)*8))*$M$5)</f>
        <v>156</v>
      </c>
      <c r="O9">
        <v>130</v>
      </c>
      <c r="P9">
        <f>IF($M$4&gt;0,100,0)</f>
        <v>0</v>
      </c>
      <c r="Q9">
        <f>IF($M$3&gt;6,(($M$3-6)*$P$3*$M$2)+$Q$3,2*$P$3*$M$2*-1)</f>
        <v>-420</v>
      </c>
      <c r="R9">
        <f>(M9+N9+O9+P9+Q9)*$M$1</f>
        <v>265.73600000000005</v>
      </c>
      <c r="U9" s="56">
        <f>M9+N9+O9+P9+Q9+R9</f>
        <v>2923.096</v>
      </c>
      <c r="V9" s="56">
        <f>L9/7</f>
        <v>338.7657142857143</v>
      </c>
      <c r="W9">
        <f>IF($M$6 = 1,((U9+500)*0.039*$M$6),47)</f>
        <v>133.500744</v>
      </c>
      <c r="X9">
        <f>U9+W9</f>
        <v>3056.5967439999999</v>
      </c>
      <c r="AA9">
        <f>X9/$M$2</f>
        <v>218.32833885714285</v>
      </c>
      <c r="AC9" s="53">
        <f>AA9/$M$3</f>
        <v>54.582084714285713</v>
      </c>
      <c r="AD9">
        <f>V9*30</f>
        <v>10162.971428571429</v>
      </c>
      <c r="AE9">
        <f>AD9*0.95</f>
        <v>9654.8228571428572</v>
      </c>
    </row>
    <row r="10" spans="1:43" ht="18" x14ac:dyDescent="0.35">
      <c r="B10" t="s">
        <v>14</v>
      </c>
      <c r="D10">
        <v>1.1499999999999999</v>
      </c>
      <c r="G10">
        <f>1320*D10*1.04</f>
        <v>1578.7199999999998</v>
      </c>
      <c r="J10">
        <v>1250</v>
      </c>
      <c r="L10" s="5">
        <f>M10+Q10</f>
        <v>2737.4399999999996</v>
      </c>
      <c r="M10">
        <f>G10/7*$M$2</f>
        <v>3157.4399999999996</v>
      </c>
      <c r="N10">
        <f>IF($M$2&lt;=7,(100/7*$M$2*$M$5),(100+(($M$2-7)*8))*$M$5)</f>
        <v>156</v>
      </c>
      <c r="O10">
        <v>130</v>
      </c>
      <c r="P10">
        <f>IF($M$4&gt;0,100,0)</f>
        <v>0</v>
      </c>
      <c r="Q10">
        <f>IF($M$3&gt;6,(($M$3-6)*$P$3*$M$2)+$Q$3,2*$P$3*$M$2*-1)</f>
        <v>-420</v>
      </c>
      <c r="R10">
        <f>(M10+N10+O10+P10+Q10)*$M$1</f>
        <v>302.34399999999999</v>
      </c>
      <c r="U10" s="56">
        <f>M10+N10+O10+P10+Q10+R10</f>
        <v>3325.7839999999997</v>
      </c>
      <c r="V10" s="56">
        <f t="shared" ref="V10:V11" si="0">L10/7</f>
        <v>391.06285714285707</v>
      </c>
      <c r="W10">
        <f>IF($M$6 = 1,((U10+500)*0.039*$M$6),47)</f>
        <v>149.20557599999998</v>
      </c>
      <c r="X10">
        <f>U10+W10</f>
        <v>3474.9895759999995</v>
      </c>
      <c r="AA10">
        <f>X10/$M$2</f>
        <v>248.21354114285711</v>
      </c>
      <c r="AC10" s="53">
        <f>AA10/$M$3</f>
        <v>62.053385285714278</v>
      </c>
      <c r="AD10">
        <f t="shared" ref="AD10:AD11" si="1">V10*30</f>
        <v>11731.885714285712</v>
      </c>
      <c r="AE10">
        <f t="shared" ref="AE10:AE11" si="2">AD10*0.95</f>
        <v>11145.291428571427</v>
      </c>
    </row>
    <row r="11" spans="1:43" ht="18" x14ac:dyDescent="0.35">
      <c r="B11" t="s">
        <v>157</v>
      </c>
      <c r="D11">
        <v>1.1499999999999999</v>
      </c>
      <c r="G11">
        <f>1380*D11*1.04</f>
        <v>1650.4799999999998</v>
      </c>
      <c r="J11">
        <v>1350</v>
      </c>
      <c r="L11" s="5">
        <f>M11+Q11</f>
        <v>2880.9599999999996</v>
      </c>
      <c r="M11">
        <f>G11/7*$M$2</f>
        <v>3300.9599999999996</v>
      </c>
      <c r="N11">
        <f>IF($M$2&lt;=7,(100/7*$M$2*$M$5),(100+(($M$2-7)*8))*$M$5)</f>
        <v>156</v>
      </c>
      <c r="O11">
        <v>130</v>
      </c>
      <c r="P11">
        <f>IF($M$4&gt;0,100,0)</f>
        <v>0</v>
      </c>
      <c r="Q11">
        <f>IF($M$3&gt;6,(($M$3-6)*$P$3*$M$2)+$Q$3,2*$P$3*$M$2*-1)</f>
        <v>-420</v>
      </c>
      <c r="R11">
        <f>(M11+N11+O11+P11+Q11)*$M$1</f>
        <v>316.69599999999997</v>
      </c>
      <c r="U11" s="56">
        <f>M11+N11+O11+P11+Q11+R11</f>
        <v>3483.6559999999995</v>
      </c>
      <c r="V11" s="56">
        <f t="shared" si="0"/>
        <v>411.56571428571425</v>
      </c>
      <c r="W11">
        <f>IF($M$6 = 1,((U11+500)*0.039*$M$6),47)</f>
        <v>155.36258399999997</v>
      </c>
      <c r="X11">
        <f>U11+W11</f>
        <v>3639.0185839999995</v>
      </c>
      <c r="AA11">
        <f>X11/$M$2</f>
        <v>259.9298988571428</v>
      </c>
      <c r="AC11" s="53">
        <f>AA11/$M$3</f>
        <v>64.982474714285701</v>
      </c>
      <c r="AD11">
        <f t="shared" si="1"/>
        <v>12346.971428571427</v>
      </c>
      <c r="AE11">
        <f t="shared" si="2"/>
        <v>11729.622857142855</v>
      </c>
    </row>
    <row r="12" spans="1:43" ht="14.45" x14ac:dyDescent="0.3">
      <c r="B12" t="s">
        <v>43</v>
      </c>
      <c r="G12" s="149" t="s">
        <v>528</v>
      </c>
      <c r="R12" s="52" t="s">
        <v>226</v>
      </c>
      <c r="S12" s="125"/>
      <c r="T12" s="52"/>
      <c r="U12" s="64">
        <f>ROUND(SUM(U9:U11)/3,0)</f>
        <v>3244</v>
      </c>
      <c r="V12" s="64"/>
    </row>
    <row r="13" spans="1:43" ht="14.45" x14ac:dyDescent="0.3">
      <c r="R13" s="52"/>
      <c r="S13" s="125"/>
      <c r="T13" s="52"/>
      <c r="U13" s="64"/>
      <c r="V13" s="64"/>
    </row>
    <row r="14" spans="1:43" ht="14.45" x14ac:dyDescent="0.3">
      <c r="H14" t="s">
        <v>119</v>
      </c>
      <c r="K14" t="s">
        <v>55</v>
      </c>
      <c r="S14" s="76" t="s">
        <v>360</v>
      </c>
      <c r="T14" t="s">
        <v>229</v>
      </c>
      <c r="V14" t="s">
        <v>140</v>
      </c>
      <c r="AI14" t="s">
        <v>358</v>
      </c>
      <c r="AJ14" t="s">
        <v>358</v>
      </c>
      <c r="AK14" t="s">
        <v>358</v>
      </c>
      <c r="AL14" t="s">
        <v>358</v>
      </c>
      <c r="AN14" t="s">
        <v>359</v>
      </c>
      <c r="AO14" t="s">
        <v>359</v>
      </c>
      <c r="AP14" t="s">
        <v>359</v>
      </c>
      <c r="AQ14" t="s">
        <v>359</v>
      </c>
    </row>
    <row r="15" spans="1:43" ht="14.45" x14ac:dyDescent="0.3">
      <c r="B15" t="s">
        <v>18</v>
      </c>
      <c r="C15" t="s">
        <v>38</v>
      </c>
      <c r="D15" t="s">
        <v>19</v>
      </c>
      <c r="G15" t="s">
        <v>20</v>
      </c>
      <c r="H15" t="s">
        <v>120</v>
      </c>
      <c r="J15" t="s">
        <v>21</v>
      </c>
      <c r="K15" t="s">
        <v>53</v>
      </c>
      <c r="L15" s="5" t="s">
        <v>54</v>
      </c>
      <c r="O15" s="1" t="s">
        <v>22</v>
      </c>
      <c r="P15" s="1" t="s">
        <v>23</v>
      </c>
      <c r="Q15" s="1" t="s">
        <v>24</v>
      </c>
      <c r="R15" s="1" t="s">
        <v>25</v>
      </c>
      <c r="S15" s="72" t="s">
        <v>361</v>
      </c>
      <c r="T15" s="1" t="s">
        <v>230</v>
      </c>
      <c r="U15" s="1"/>
      <c r="V15" s="65" t="s">
        <v>16</v>
      </c>
      <c r="W15" s="5" t="s">
        <v>26</v>
      </c>
      <c r="X15" s="1" t="s">
        <v>7</v>
      </c>
      <c r="Y15" s="1"/>
      <c r="Z15" s="1"/>
      <c r="AA15" s="1" t="s">
        <v>10</v>
      </c>
      <c r="AB15" s="1"/>
      <c r="AC15" s="1" t="s">
        <v>27</v>
      </c>
      <c r="AD15" s="1" t="s">
        <v>28</v>
      </c>
      <c r="AE15" s="1" t="s">
        <v>29</v>
      </c>
      <c r="AF15" s="1"/>
      <c r="AG15" s="1" t="s">
        <v>30</v>
      </c>
      <c r="AH15" s="1"/>
      <c r="AI15" s="1" t="s">
        <v>362</v>
      </c>
      <c r="AJ15" s="1" t="s">
        <v>363</v>
      </c>
      <c r="AK15" s="1" t="s">
        <v>364</v>
      </c>
      <c r="AL15" s="1" t="s">
        <v>365</v>
      </c>
      <c r="AM15" s="1"/>
      <c r="AN15" s="1" t="s">
        <v>362</v>
      </c>
      <c r="AO15" s="1" t="s">
        <v>363</v>
      </c>
      <c r="AP15" s="1" t="s">
        <v>364</v>
      </c>
      <c r="AQ15" s="1" t="s">
        <v>365</v>
      </c>
    </row>
    <row r="16" spans="1:43" ht="23.45" x14ac:dyDescent="0.45">
      <c r="A16" s="31"/>
      <c r="B16" s="28">
        <v>2010</v>
      </c>
      <c r="C16" s="29"/>
      <c r="D16" s="30"/>
      <c r="E16" s="31"/>
      <c r="F16" s="31"/>
      <c r="G16" s="30"/>
      <c r="H16" s="30"/>
      <c r="I16" s="30"/>
      <c r="J16" s="30"/>
      <c r="K16" s="31"/>
      <c r="L16" s="32"/>
      <c r="M16" s="33"/>
      <c r="N16" s="31"/>
      <c r="O16" s="34"/>
      <c r="P16" s="34"/>
      <c r="Q16" s="31"/>
      <c r="R16" s="35"/>
      <c r="S16" s="71"/>
      <c r="T16" s="71"/>
      <c r="U16" s="34"/>
      <c r="V16" s="66" t="s">
        <v>231</v>
      </c>
      <c r="W16" s="32"/>
      <c r="X16" s="34"/>
      <c r="Y16" s="34"/>
      <c r="Z16" s="34"/>
      <c r="AA16" s="34"/>
      <c r="AB16" s="34"/>
      <c r="AC16" s="31"/>
      <c r="AD16" s="34"/>
      <c r="AE16" s="34"/>
      <c r="AF16" s="34"/>
      <c r="AG16" s="34"/>
    </row>
    <row r="17" spans="2:43" ht="15.6" x14ac:dyDescent="0.3">
      <c r="B17" t="s">
        <v>59</v>
      </c>
      <c r="C17" s="11" t="s">
        <v>46</v>
      </c>
      <c r="D17" t="s">
        <v>31</v>
      </c>
      <c r="E17">
        <f>IF(D17=$B$12,H17,0)</f>
        <v>0</v>
      </c>
      <c r="F17">
        <f>IF(E17&gt;0,0,1)</f>
        <v>1</v>
      </c>
      <c r="G17" t="s">
        <v>32</v>
      </c>
      <c r="H17">
        <v>15</v>
      </c>
      <c r="J17" t="s">
        <v>33</v>
      </c>
      <c r="K17" t="s">
        <v>56</v>
      </c>
      <c r="L17" s="5">
        <v>0</v>
      </c>
      <c r="M17" s="4" t="s">
        <v>34</v>
      </c>
      <c r="O17" s="50">
        <v>2656</v>
      </c>
      <c r="P17" s="1">
        <v>0</v>
      </c>
      <c r="Q17">
        <f t="shared" ref="Q17:Q27" si="3">(O17+500)-P17</f>
        <v>3156</v>
      </c>
      <c r="R17" s="6" t="s">
        <v>35</v>
      </c>
      <c r="S17" s="72">
        <v>2</v>
      </c>
      <c r="T17" s="72">
        <f>IF(U17=$AD$2,47,IF(U17=$AD$1,((Q17+P17)*0.039),IF(U17=$AD$3,0)))</f>
        <v>47</v>
      </c>
      <c r="U17" s="7" t="str">
        <f>IF(V17=1,$AD$2,IF(V17=2,$AD$1,IF(AND(V17&lt;&gt;1,V17&lt;&gt;20)=TRUE,$AD$3)))</f>
        <v>BANK</v>
      </c>
      <c r="V17" s="68">
        <v>1</v>
      </c>
      <c r="W17" s="5" t="s">
        <v>26</v>
      </c>
      <c r="X17" s="1">
        <f t="shared" ref="X17:X26" si="4">Q17+P17</f>
        <v>3156</v>
      </c>
      <c r="Y17" s="1"/>
      <c r="Z17" s="1">
        <f t="shared" ref="Z17:Z33" si="5">IF(W17=$Z$1,Q17-500,0)</f>
        <v>0</v>
      </c>
      <c r="AA17" s="1">
        <f>125+65</f>
        <v>190</v>
      </c>
      <c r="AB17" s="1"/>
      <c r="AC17">
        <f>O17-AA17</f>
        <v>2466</v>
      </c>
      <c r="AD17" s="1"/>
      <c r="AE17" s="1">
        <f>IF(H17&gt;0,30*F17,0)</f>
        <v>30</v>
      </c>
      <c r="AF17" s="1">
        <f t="shared" ref="AF17:AF33" si="6">IF(AG17&gt;0,AG17,0)</f>
        <v>2436</v>
      </c>
      <c r="AG17" s="1">
        <f t="shared" ref="AG17:AG33" si="7">AC17-AE17</f>
        <v>2436</v>
      </c>
      <c r="AI17">
        <f t="shared" ref="AI17:AI33" si="8">IF(S17=1,O17,0)</f>
        <v>0</v>
      </c>
      <c r="AJ17">
        <f t="shared" ref="AJ17:AJ33" si="9">IF(S17=2,O17,0)</f>
        <v>2656</v>
      </c>
      <c r="AK17">
        <f t="shared" ref="AK17:AK33" si="10">IF(S17=3,O17,0)</f>
        <v>0</v>
      </c>
      <c r="AL17">
        <f t="shared" ref="AL17:AL33" si="11">IF(S17=4,O17,0)</f>
        <v>0</v>
      </c>
      <c r="AN17">
        <f>IF(S17=1,O17,0)</f>
        <v>0</v>
      </c>
      <c r="AO17">
        <f>IF(S17=2,O17,0)</f>
        <v>2656</v>
      </c>
      <c r="AP17">
        <f>IF(S17=3,O17,0)</f>
        <v>0</v>
      </c>
      <c r="AQ17">
        <f>IF(S17=4,O17,0)</f>
        <v>0</v>
      </c>
    </row>
    <row r="18" spans="2:43" ht="15.6" x14ac:dyDescent="0.3">
      <c r="B18" t="s">
        <v>45</v>
      </c>
      <c r="C18" s="11" t="s">
        <v>42</v>
      </c>
      <c r="D18" t="s">
        <v>43</v>
      </c>
      <c r="E18">
        <f t="shared" ref="E18:E72" si="12">IF(D18=$B$12,H18,0)</f>
        <v>15</v>
      </c>
      <c r="F18">
        <f t="shared" ref="F18:F33" si="13">IF(E18&gt;0,0,1)</f>
        <v>0</v>
      </c>
      <c r="G18" t="s">
        <v>259</v>
      </c>
      <c r="H18">
        <v>15</v>
      </c>
      <c r="J18" t="s">
        <v>77</v>
      </c>
      <c r="K18" t="s">
        <v>56</v>
      </c>
      <c r="L18" s="5">
        <v>3</v>
      </c>
      <c r="M18" s="4" t="s">
        <v>37</v>
      </c>
      <c r="O18" s="50">
        <v>0</v>
      </c>
      <c r="P18" s="1">
        <v>0</v>
      </c>
      <c r="Q18">
        <f t="shared" si="3"/>
        <v>500</v>
      </c>
      <c r="R18" s="6" t="s">
        <v>43</v>
      </c>
      <c r="S18" s="72">
        <v>3</v>
      </c>
      <c r="T18" s="72">
        <f t="shared" ref="T18:T33" si="14">IF(U18=$AD$2,47,IF(U18=$AD$1,((Q18+P18)*0.039),IF(U18=$AD$3,0)))</f>
        <v>0</v>
      </c>
      <c r="U18" s="7" t="str">
        <f>IF(V18=1,$AD$2,IF(V18=2,$AD$1,IF(AND(V18&lt;&gt;1,V18&lt;&gt;20)=TRUE,$AD$3)))</f>
        <v>NONE</v>
      </c>
      <c r="V18" s="68">
        <v>0</v>
      </c>
      <c r="W18" s="5" t="s">
        <v>43</v>
      </c>
      <c r="X18" s="1">
        <f t="shared" si="4"/>
        <v>500</v>
      </c>
      <c r="Y18" s="1"/>
      <c r="Z18" s="1">
        <f t="shared" si="5"/>
        <v>0</v>
      </c>
      <c r="AA18" s="1">
        <v>0</v>
      </c>
      <c r="AB18" s="1"/>
      <c r="AC18">
        <f t="shared" ref="AC18:AC50" si="15">O18-AA18</f>
        <v>0</v>
      </c>
      <c r="AD18" s="1"/>
      <c r="AE18" s="1">
        <f t="shared" ref="AE18:AE33" si="16">IF(H18&gt;0,30*F18,0)</f>
        <v>0</v>
      </c>
      <c r="AF18" s="1">
        <f t="shared" si="6"/>
        <v>0</v>
      </c>
      <c r="AG18" s="1">
        <f t="shared" si="7"/>
        <v>0</v>
      </c>
      <c r="AI18">
        <f t="shared" si="8"/>
        <v>0</v>
      </c>
      <c r="AJ18">
        <f t="shared" si="9"/>
        <v>0</v>
      </c>
      <c r="AK18">
        <f t="shared" si="10"/>
        <v>0</v>
      </c>
      <c r="AL18">
        <f t="shared" si="11"/>
        <v>0</v>
      </c>
      <c r="AN18">
        <f>IF(S18=1,O18,0)</f>
        <v>0</v>
      </c>
      <c r="AO18">
        <f>IF(S18=2,O18,0)</f>
        <v>0</v>
      </c>
      <c r="AP18">
        <f>IF(S18=3,O18,0)</f>
        <v>0</v>
      </c>
      <c r="AQ18">
        <f>IF(S18=4,O18,0)</f>
        <v>0</v>
      </c>
    </row>
    <row r="19" spans="2:43" ht="15.6" x14ac:dyDescent="0.3">
      <c r="B19" t="s">
        <v>39</v>
      </c>
      <c r="C19" s="11" t="s">
        <v>47</v>
      </c>
      <c r="D19" t="s">
        <v>31</v>
      </c>
      <c r="E19">
        <f t="shared" si="12"/>
        <v>0</v>
      </c>
      <c r="F19">
        <f t="shared" si="13"/>
        <v>1</v>
      </c>
      <c r="G19" t="s">
        <v>40</v>
      </c>
      <c r="H19">
        <v>7</v>
      </c>
      <c r="J19" t="s">
        <v>41</v>
      </c>
      <c r="K19" t="s">
        <v>56</v>
      </c>
      <c r="L19" s="5">
        <v>0</v>
      </c>
      <c r="M19" s="4" t="s">
        <v>37</v>
      </c>
      <c r="O19" s="50">
        <v>1622</v>
      </c>
      <c r="P19" s="1">
        <v>0</v>
      </c>
      <c r="Q19">
        <f t="shared" si="3"/>
        <v>2122</v>
      </c>
      <c r="R19" s="6" t="s">
        <v>35</v>
      </c>
      <c r="S19" s="72">
        <v>3</v>
      </c>
      <c r="T19" s="72">
        <f t="shared" si="14"/>
        <v>82.757999999999996</v>
      </c>
      <c r="U19" s="7" t="str">
        <f>IF(V19=1,$AD$2,IF(V19=2,$AD$1,IF(AND(V19&lt;&gt;1,V19&lt;&gt;20)=TRUE,$AD$3)))</f>
        <v>PAYPAL</v>
      </c>
      <c r="V19" s="68">
        <v>2</v>
      </c>
      <c r="W19" s="5" t="s">
        <v>26</v>
      </c>
      <c r="X19" s="1">
        <f t="shared" si="4"/>
        <v>2122</v>
      </c>
      <c r="Y19" s="1"/>
      <c r="Z19" s="1">
        <f t="shared" si="5"/>
        <v>0</v>
      </c>
      <c r="AA19" s="1">
        <v>125</v>
      </c>
      <c r="AB19" s="1"/>
      <c r="AC19">
        <f t="shared" si="15"/>
        <v>1497</v>
      </c>
      <c r="AD19" s="1"/>
      <c r="AE19" s="1">
        <f t="shared" si="16"/>
        <v>30</v>
      </c>
      <c r="AF19" s="1">
        <f t="shared" si="6"/>
        <v>1467</v>
      </c>
      <c r="AG19" s="1">
        <f t="shared" si="7"/>
        <v>1467</v>
      </c>
      <c r="AI19">
        <f t="shared" si="8"/>
        <v>0</v>
      </c>
      <c r="AJ19">
        <f t="shared" si="9"/>
        <v>0</v>
      </c>
      <c r="AK19">
        <f t="shared" si="10"/>
        <v>1622</v>
      </c>
      <c r="AL19">
        <f t="shared" si="11"/>
        <v>0</v>
      </c>
      <c r="AN19">
        <f t="shared" ref="AN19:AN33" si="17">IF(S19=1,O19,0)</f>
        <v>0</v>
      </c>
      <c r="AO19">
        <f t="shared" ref="AO19:AO33" si="18">IF(S19=2,O19,0)</f>
        <v>0</v>
      </c>
      <c r="AP19">
        <f t="shared" ref="AP19:AP33" si="19">IF(S19=3,O19,0)</f>
        <v>1622</v>
      </c>
      <c r="AQ19">
        <f t="shared" ref="AQ19:AQ33" si="20">IF(S19=4,O19,0)</f>
        <v>0</v>
      </c>
    </row>
    <row r="20" spans="2:43" ht="15.6" x14ac:dyDescent="0.3">
      <c r="C20" s="11"/>
      <c r="E20">
        <f t="shared" si="12"/>
        <v>0</v>
      </c>
      <c r="F20">
        <f t="shared" si="13"/>
        <v>1</v>
      </c>
      <c r="M20" s="4"/>
      <c r="O20" s="50"/>
      <c r="P20" s="1"/>
      <c r="Q20">
        <f t="shared" si="3"/>
        <v>500</v>
      </c>
      <c r="R20" s="6"/>
      <c r="S20" s="72"/>
      <c r="T20" s="72">
        <f t="shared" si="14"/>
        <v>0</v>
      </c>
      <c r="U20" s="7" t="str">
        <f>IF(V20=1,$AD$2,IF(V20=2,$AD$1,IF(AND(V20&lt;&gt;1,V20&lt;&gt;20)=TRUE,$AD$3)))</f>
        <v>NONE</v>
      </c>
      <c r="V20" s="68"/>
      <c r="W20" s="5"/>
      <c r="X20" s="1">
        <v>0</v>
      </c>
      <c r="Y20" s="1"/>
      <c r="Z20" s="1">
        <f t="shared" si="5"/>
        <v>0</v>
      </c>
      <c r="AA20" s="1">
        <v>0</v>
      </c>
      <c r="AB20" s="1"/>
      <c r="AC20">
        <f t="shared" si="15"/>
        <v>0</v>
      </c>
      <c r="AD20" s="1"/>
      <c r="AE20" s="1">
        <f t="shared" si="16"/>
        <v>0</v>
      </c>
      <c r="AF20" s="1">
        <f t="shared" si="6"/>
        <v>0</v>
      </c>
      <c r="AG20" s="1">
        <f t="shared" si="7"/>
        <v>0</v>
      </c>
      <c r="AI20">
        <f t="shared" si="8"/>
        <v>0</v>
      </c>
      <c r="AJ20">
        <f t="shared" si="9"/>
        <v>0</v>
      </c>
      <c r="AK20">
        <f t="shared" si="10"/>
        <v>0</v>
      </c>
      <c r="AL20">
        <f t="shared" si="11"/>
        <v>0</v>
      </c>
      <c r="AN20">
        <f t="shared" si="17"/>
        <v>0</v>
      </c>
      <c r="AO20">
        <f t="shared" si="18"/>
        <v>0</v>
      </c>
      <c r="AP20">
        <f t="shared" si="19"/>
        <v>0</v>
      </c>
      <c r="AQ20">
        <f t="shared" si="20"/>
        <v>0</v>
      </c>
    </row>
    <row r="21" spans="2:43" ht="14.45" x14ac:dyDescent="0.3">
      <c r="B21" s="16" t="s">
        <v>60</v>
      </c>
      <c r="C21" s="16" t="s">
        <v>61</v>
      </c>
      <c r="D21" s="16" t="s">
        <v>62</v>
      </c>
      <c r="E21">
        <f t="shared" si="12"/>
        <v>0</v>
      </c>
      <c r="F21">
        <f t="shared" si="13"/>
        <v>1</v>
      </c>
      <c r="G21" s="16" t="s">
        <v>63</v>
      </c>
      <c r="H21" s="16">
        <v>14</v>
      </c>
      <c r="I21" s="16"/>
      <c r="J21" s="16" t="s">
        <v>64</v>
      </c>
      <c r="K21" t="s">
        <v>56</v>
      </c>
      <c r="L21" s="5">
        <v>3</v>
      </c>
      <c r="M21" s="4" t="s">
        <v>37</v>
      </c>
      <c r="O21" s="50">
        <v>2796</v>
      </c>
      <c r="P21" s="1">
        <v>1118</v>
      </c>
      <c r="Q21">
        <f t="shared" si="3"/>
        <v>2178</v>
      </c>
      <c r="R21" s="6" t="s">
        <v>68</v>
      </c>
      <c r="S21" s="72">
        <v>3</v>
      </c>
      <c r="T21" s="72">
        <f t="shared" si="14"/>
        <v>0</v>
      </c>
      <c r="U21" s="7" t="str">
        <f t="shared" ref="U21:U33" si="21">IF(V21=1,$AD$2,IF(V21=2,$AD$1,IF(AND(V21&lt;&gt;1,V21&lt;&gt;20)=TRUE,$AD$3)))</f>
        <v>NONE</v>
      </c>
      <c r="V21" s="68"/>
      <c r="W21" s="5" t="s">
        <v>124</v>
      </c>
      <c r="X21" s="1">
        <f t="shared" si="4"/>
        <v>3296</v>
      </c>
      <c r="Y21" s="1"/>
      <c r="Z21" s="1">
        <f t="shared" si="5"/>
        <v>0</v>
      </c>
      <c r="AA21" s="1">
        <v>130</v>
      </c>
      <c r="AB21" s="1"/>
      <c r="AC21">
        <f t="shared" si="15"/>
        <v>2666</v>
      </c>
      <c r="AD21" s="1"/>
      <c r="AE21" s="1">
        <f t="shared" si="16"/>
        <v>30</v>
      </c>
      <c r="AF21" s="1">
        <f t="shared" si="6"/>
        <v>2636</v>
      </c>
      <c r="AG21" s="1">
        <f t="shared" si="7"/>
        <v>2636</v>
      </c>
      <c r="AI21">
        <f t="shared" si="8"/>
        <v>0</v>
      </c>
      <c r="AJ21">
        <f t="shared" si="9"/>
        <v>0</v>
      </c>
      <c r="AK21">
        <f t="shared" si="10"/>
        <v>2796</v>
      </c>
      <c r="AL21">
        <f t="shared" si="11"/>
        <v>0</v>
      </c>
      <c r="AN21">
        <f t="shared" si="17"/>
        <v>0</v>
      </c>
      <c r="AO21">
        <f t="shared" si="18"/>
        <v>0</v>
      </c>
      <c r="AP21">
        <f t="shared" si="19"/>
        <v>2796</v>
      </c>
      <c r="AQ21">
        <f t="shared" si="20"/>
        <v>0</v>
      </c>
    </row>
    <row r="22" spans="2:43" ht="14.45" x14ac:dyDescent="0.3">
      <c r="B22" s="16" t="s">
        <v>89</v>
      </c>
      <c r="C22" t="s">
        <v>88</v>
      </c>
      <c r="D22" s="16" t="s">
        <v>90</v>
      </c>
      <c r="E22">
        <f t="shared" si="12"/>
        <v>0</v>
      </c>
      <c r="F22">
        <f t="shared" si="13"/>
        <v>1</v>
      </c>
      <c r="G22" s="16" t="s">
        <v>92</v>
      </c>
      <c r="H22" s="16">
        <v>7</v>
      </c>
      <c r="I22" s="16"/>
      <c r="J22" s="16" t="s">
        <v>91</v>
      </c>
      <c r="K22" t="s">
        <v>56</v>
      </c>
      <c r="L22" s="5">
        <v>0</v>
      </c>
      <c r="M22" s="4" t="s">
        <v>37</v>
      </c>
      <c r="O22" s="50">
        <v>1200</v>
      </c>
      <c r="P22" s="1">
        <f>O22*0.4</f>
        <v>480</v>
      </c>
      <c r="Q22">
        <f t="shared" si="3"/>
        <v>1220</v>
      </c>
      <c r="R22" s="6" t="s">
        <v>93</v>
      </c>
      <c r="S22" s="72">
        <v>3</v>
      </c>
      <c r="T22" s="72">
        <f t="shared" si="14"/>
        <v>0</v>
      </c>
      <c r="U22" s="7" t="str">
        <f t="shared" si="21"/>
        <v>NONE</v>
      </c>
      <c r="V22" s="68"/>
      <c r="W22" s="5" t="s">
        <v>134</v>
      </c>
      <c r="X22" s="1">
        <f t="shared" si="4"/>
        <v>1700</v>
      </c>
      <c r="Y22" s="1"/>
      <c r="Z22" s="1">
        <f t="shared" si="5"/>
        <v>0</v>
      </c>
      <c r="AA22" s="1">
        <v>130</v>
      </c>
      <c r="AB22" s="1"/>
      <c r="AC22">
        <f t="shared" si="15"/>
        <v>1070</v>
      </c>
      <c r="AD22" s="1"/>
      <c r="AE22" s="1">
        <f t="shared" si="16"/>
        <v>30</v>
      </c>
      <c r="AF22" s="1">
        <f t="shared" si="6"/>
        <v>1040</v>
      </c>
      <c r="AG22" s="1">
        <f t="shared" si="7"/>
        <v>1040</v>
      </c>
      <c r="AI22">
        <f t="shared" si="8"/>
        <v>0</v>
      </c>
      <c r="AJ22">
        <f t="shared" si="9"/>
        <v>0</v>
      </c>
      <c r="AK22">
        <f t="shared" si="10"/>
        <v>1200</v>
      </c>
      <c r="AL22">
        <f t="shared" si="11"/>
        <v>0</v>
      </c>
      <c r="AN22">
        <f t="shared" si="17"/>
        <v>0</v>
      </c>
      <c r="AO22">
        <f t="shared" si="18"/>
        <v>0</v>
      </c>
      <c r="AP22">
        <f t="shared" si="19"/>
        <v>1200</v>
      </c>
      <c r="AQ22">
        <f t="shared" si="20"/>
        <v>0</v>
      </c>
    </row>
    <row r="23" spans="2:43" ht="14.45" x14ac:dyDescent="0.3">
      <c r="B23" s="16" t="s">
        <v>72</v>
      </c>
      <c r="C23" s="16" t="s">
        <v>74</v>
      </c>
      <c r="D23" s="16" t="s">
        <v>90</v>
      </c>
      <c r="E23">
        <f t="shared" si="12"/>
        <v>0</v>
      </c>
      <c r="F23">
        <f t="shared" si="13"/>
        <v>1</v>
      </c>
      <c r="G23" s="16" t="s">
        <v>73</v>
      </c>
      <c r="H23" s="16">
        <v>11</v>
      </c>
      <c r="I23" s="16"/>
      <c r="J23" s="16" t="s">
        <v>75</v>
      </c>
      <c r="K23" t="s">
        <v>56</v>
      </c>
      <c r="L23" s="5">
        <v>0</v>
      </c>
      <c r="M23" s="4" t="s">
        <v>37</v>
      </c>
      <c r="O23" s="50">
        <f>1819+71</f>
        <v>1890</v>
      </c>
      <c r="P23" s="1">
        <f>2390*0.4</f>
        <v>956</v>
      </c>
      <c r="Q23">
        <f t="shared" si="3"/>
        <v>1434</v>
      </c>
      <c r="R23" s="6" t="s">
        <v>76</v>
      </c>
      <c r="S23" s="72">
        <v>3</v>
      </c>
      <c r="T23" s="72">
        <f t="shared" si="14"/>
        <v>93.21</v>
      </c>
      <c r="U23" s="7" t="str">
        <f t="shared" si="21"/>
        <v>PAYPAL</v>
      </c>
      <c r="V23" s="68">
        <v>2</v>
      </c>
      <c r="W23" s="5" t="s">
        <v>134</v>
      </c>
      <c r="X23" s="1">
        <f t="shared" si="4"/>
        <v>2390</v>
      </c>
      <c r="Y23" s="1"/>
      <c r="Z23" s="1">
        <f t="shared" si="5"/>
        <v>0</v>
      </c>
      <c r="AA23" s="1">
        <v>130</v>
      </c>
      <c r="AB23" s="1"/>
      <c r="AC23">
        <f t="shared" si="15"/>
        <v>1760</v>
      </c>
      <c r="AD23" s="1"/>
      <c r="AE23" s="1">
        <f t="shared" si="16"/>
        <v>30</v>
      </c>
      <c r="AF23" s="1">
        <f t="shared" si="6"/>
        <v>1730</v>
      </c>
      <c r="AG23" s="1">
        <f t="shared" si="7"/>
        <v>1730</v>
      </c>
      <c r="AI23">
        <f t="shared" si="8"/>
        <v>0</v>
      </c>
      <c r="AJ23">
        <f t="shared" si="9"/>
        <v>0</v>
      </c>
      <c r="AK23">
        <f t="shared" si="10"/>
        <v>1890</v>
      </c>
      <c r="AL23">
        <f t="shared" si="11"/>
        <v>0</v>
      </c>
      <c r="AN23">
        <f t="shared" si="17"/>
        <v>0</v>
      </c>
      <c r="AO23">
        <f t="shared" si="18"/>
        <v>0</v>
      </c>
      <c r="AP23">
        <f t="shared" si="19"/>
        <v>1890</v>
      </c>
      <c r="AQ23">
        <f t="shared" si="20"/>
        <v>0</v>
      </c>
    </row>
    <row r="24" spans="2:43" ht="14.45" x14ac:dyDescent="0.3">
      <c r="B24" s="16" t="s">
        <v>112</v>
      </c>
      <c r="C24" t="s">
        <v>111</v>
      </c>
      <c r="D24" s="16" t="s">
        <v>31</v>
      </c>
      <c r="E24">
        <f t="shared" si="12"/>
        <v>0</v>
      </c>
      <c r="F24">
        <f t="shared" si="13"/>
        <v>1</v>
      </c>
      <c r="G24" s="16" t="s">
        <v>113</v>
      </c>
      <c r="H24" s="16">
        <v>7</v>
      </c>
      <c r="I24" s="16"/>
      <c r="J24" s="16" t="s">
        <v>109</v>
      </c>
      <c r="K24" t="s">
        <v>56</v>
      </c>
      <c r="L24" s="5">
        <v>0</v>
      </c>
      <c r="M24" s="4" t="s">
        <v>37</v>
      </c>
      <c r="O24" s="50">
        <v>1202</v>
      </c>
      <c r="P24" s="1">
        <v>681</v>
      </c>
      <c r="Q24">
        <f t="shared" si="3"/>
        <v>1021</v>
      </c>
      <c r="R24" s="6" t="s">
        <v>114</v>
      </c>
      <c r="S24" s="72">
        <v>4</v>
      </c>
      <c r="T24" s="72">
        <f t="shared" si="14"/>
        <v>66.378</v>
      </c>
      <c r="U24" s="7" t="str">
        <f t="shared" si="21"/>
        <v>PAYPAL</v>
      </c>
      <c r="V24" s="68">
        <v>2</v>
      </c>
      <c r="W24" s="5" t="s">
        <v>167</v>
      </c>
      <c r="X24" s="1">
        <f t="shared" si="4"/>
        <v>1702</v>
      </c>
      <c r="Y24" s="1"/>
      <c r="Z24" s="1">
        <f t="shared" si="5"/>
        <v>0</v>
      </c>
      <c r="AA24" s="1">
        <v>130</v>
      </c>
      <c r="AB24" s="1"/>
      <c r="AC24">
        <f t="shared" si="15"/>
        <v>1072</v>
      </c>
      <c r="AD24" s="1"/>
      <c r="AE24" s="1">
        <f t="shared" si="16"/>
        <v>30</v>
      </c>
      <c r="AF24" s="1">
        <f t="shared" si="6"/>
        <v>1042</v>
      </c>
      <c r="AG24" s="1">
        <f t="shared" si="7"/>
        <v>1042</v>
      </c>
      <c r="AI24">
        <f t="shared" si="8"/>
        <v>0</v>
      </c>
      <c r="AJ24">
        <f t="shared" si="9"/>
        <v>0</v>
      </c>
      <c r="AK24">
        <f t="shared" si="10"/>
        <v>0</v>
      </c>
      <c r="AL24">
        <f t="shared" si="11"/>
        <v>1202</v>
      </c>
      <c r="AN24">
        <f t="shared" si="17"/>
        <v>0</v>
      </c>
      <c r="AO24">
        <f t="shared" si="18"/>
        <v>0</v>
      </c>
      <c r="AP24">
        <f t="shared" si="19"/>
        <v>0</v>
      </c>
      <c r="AQ24">
        <f t="shared" si="20"/>
        <v>1202</v>
      </c>
    </row>
    <row r="25" spans="2:43" ht="18" customHeight="1" x14ac:dyDescent="0.3">
      <c r="B25" s="16" t="s">
        <v>48</v>
      </c>
      <c r="C25" t="s">
        <v>49</v>
      </c>
      <c r="D25" s="16" t="s">
        <v>31</v>
      </c>
      <c r="E25">
        <f t="shared" si="12"/>
        <v>0</v>
      </c>
      <c r="F25">
        <f t="shared" si="13"/>
        <v>1</v>
      </c>
      <c r="G25" s="16" t="s">
        <v>50</v>
      </c>
      <c r="H25" s="16">
        <v>7</v>
      </c>
      <c r="I25" s="16"/>
      <c r="J25" s="16" t="s">
        <v>65</v>
      </c>
      <c r="K25" t="s">
        <v>56</v>
      </c>
      <c r="L25" s="5">
        <v>0</v>
      </c>
      <c r="M25" s="4" t="s">
        <v>37</v>
      </c>
      <c r="O25" s="50">
        <v>1600</v>
      </c>
      <c r="P25" s="1">
        <v>840</v>
      </c>
      <c r="Q25">
        <f t="shared" si="3"/>
        <v>1260</v>
      </c>
      <c r="R25" s="6" t="s">
        <v>95</v>
      </c>
      <c r="S25" s="72">
        <v>4</v>
      </c>
      <c r="T25" s="72">
        <f t="shared" si="14"/>
        <v>0</v>
      </c>
      <c r="U25" s="7" t="str">
        <f t="shared" si="21"/>
        <v>NONE</v>
      </c>
      <c r="V25" s="68"/>
      <c r="W25" s="5" t="s">
        <v>174</v>
      </c>
      <c r="X25" s="1">
        <f t="shared" si="4"/>
        <v>2100</v>
      </c>
      <c r="Y25" s="1"/>
      <c r="Z25" s="1">
        <f t="shared" si="5"/>
        <v>0</v>
      </c>
      <c r="AA25" s="1">
        <v>130</v>
      </c>
      <c r="AB25" s="1"/>
      <c r="AC25">
        <f t="shared" si="15"/>
        <v>1470</v>
      </c>
      <c r="AD25" s="1"/>
      <c r="AE25" s="1">
        <f t="shared" si="16"/>
        <v>30</v>
      </c>
      <c r="AF25" s="1">
        <f t="shared" si="6"/>
        <v>1440</v>
      </c>
      <c r="AG25" s="1">
        <f t="shared" si="7"/>
        <v>1440</v>
      </c>
      <c r="AI25">
        <f t="shared" si="8"/>
        <v>0</v>
      </c>
      <c r="AJ25">
        <f t="shared" si="9"/>
        <v>0</v>
      </c>
      <c r="AK25">
        <f t="shared" si="10"/>
        <v>0</v>
      </c>
      <c r="AL25">
        <f t="shared" si="11"/>
        <v>1600</v>
      </c>
      <c r="AN25">
        <f t="shared" si="17"/>
        <v>0</v>
      </c>
      <c r="AO25">
        <f t="shared" si="18"/>
        <v>0</v>
      </c>
      <c r="AP25">
        <f t="shared" si="19"/>
        <v>0</v>
      </c>
      <c r="AQ25">
        <f t="shared" si="20"/>
        <v>1600</v>
      </c>
    </row>
    <row r="26" spans="2:43" ht="14.45" x14ac:dyDescent="0.3">
      <c r="B26" s="16" t="s">
        <v>78</v>
      </c>
      <c r="C26" t="s">
        <v>79</v>
      </c>
      <c r="D26" s="16" t="s">
        <v>31</v>
      </c>
      <c r="E26">
        <f t="shared" si="12"/>
        <v>0</v>
      </c>
      <c r="F26">
        <f t="shared" si="13"/>
        <v>1</v>
      </c>
      <c r="G26" s="16" t="s">
        <v>80</v>
      </c>
      <c r="H26" s="16">
        <v>14</v>
      </c>
      <c r="I26" s="16"/>
      <c r="J26" s="16" t="s">
        <v>81</v>
      </c>
      <c r="K26" t="s">
        <v>56</v>
      </c>
      <c r="L26" s="5">
        <v>0</v>
      </c>
      <c r="M26" s="4" t="s">
        <v>37</v>
      </c>
      <c r="O26" s="50">
        <v>2234</v>
      </c>
      <c r="P26" s="1">
        <v>894</v>
      </c>
      <c r="Q26">
        <f t="shared" si="3"/>
        <v>1840</v>
      </c>
      <c r="R26" s="6" t="s">
        <v>82</v>
      </c>
      <c r="S26" s="72">
        <v>4</v>
      </c>
      <c r="T26" s="72">
        <f t="shared" si="14"/>
        <v>106.626</v>
      </c>
      <c r="U26" s="7" t="str">
        <f t="shared" si="21"/>
        <v>PAYPAL</v>
      </c>
      <c r="V26" s="68">
        <v>2</v>
      </c>
      <c r="W26" s="5" t="s">
        <v>167</v>
      </c>
      <c r="X26" s="1">
        <f t="shared" si="4"/>
        <v>2734</v>
      </c>
      <c r="Y26" s="1"/>
      <c r="Z26" s="1">
        <f t="shared" si="5"/>
        <v>0</v>
      </c>
      <c r="AA26" s="1">
        <v>130</v>
      </c>
      <c r="AB26" s="1"/>
      <c r="AC26">
        <f t="shared" si="15"/>
        <v>2104</v>
      </c>
      <c r="AD26" s="1"/>
      <c r="AE26" s="1">
        <f t="shared" si="16"/>
        <v>30</v>
      </c>
      <c r="AF26" s="1">
        <f t="shared" si="6"/>
        <v>2074</v>
      </c>
      <c r="AG26" s="1">
        <f t="shared" si="7"/>
        <v>2074</v>
      </c>
      <c r="AI26">
        <f t="shared" si="8"/>
        <v>0</v>
      </c>
      <c r="AJ26">
        <f t="shared" si="9"/>
        <v>0</v>
      </c>
      <c r="AK26">
        <f t="shared" si="10"/>
        <v>0</v>
      </c>
      <c r="AL26">
        <f t="shared" si="11"/>
        <v>2234</v>
      </c>
      <c r="AN26">
        <f t="shared" si="17"/>
        <v>0</v>
      </c>
      <c r="AO26">
        <f t="shared" si="18"/>
        <v>0</v>
      </c>
      <c r="AP26">
        <f t="shared" si="19"/>
        <v>0</v>
      </c>
      <c r="AQ26">
        <f t="shared" si="20"/>
        <v>2234</v>
      </c>
    </row>
    <row r="27" spans="2:43" ht="14.45" x14ac:dyDescent="0.3">
      <c r="B27" t="s">
        <v>145</v>
      </c>
      <c r="C27" s="17" t="s">
        <v>125</v>
      </c>
      <c r="D27" s="16" t="s">
        <v>62</v>
      </c>
      <c r="E27">
        <f t="shared" si="12"/>
        <v>0</v>
      </c>
      <c r="F27">
        <f t="shared" si="13"/>
        <v>1</v>
      </c>
      <c r="G27" t="s">
        <v>128</v>
      </c>
      <c r="H27" s="16">
        <v>9</v>
      </c>
      <c r="I27" s="16"/>
      <c r="J27" s="16" t="s">
        <v>75</v>
      </c>
      <c r="K27" s="16" t="s">
        <v>56</v>
      </c>
      <c r="L27" s="5">
        <v>0</v>
      </c>
      <c r="M27" s="4" t="s">
        <v>37</v>
      </c>
      <c r="O27" s="50">
        <v>1632</v>
      </c>
      <c r="P27" s="1">
        <v>653</v>
      </c>
      <c r="Q27">
        <f t="shared" si="3"/>
        <v>1479</v>
      </c>
      <c r="R27" s="6" t="s">
        <v>127</v>
      </c>
      <c r="S27" s="72">
        <v>4</v>
      </c>
      <c r="T27" s="72">
        <f t="shared" si="14"/>
        <v>83.147999999999996</v>
      </c>
      <c r="U27" s="7" t="str">
        <f t="shared" si="21"/>
        <v>PAYPAL</v>
      </c>
      <c r="V27" s="68">
        <v>2</v>
      </c>
      <c r="W27" s="5" t="s">
        <v>175</v>
      </c>
      <c r="X27" s="1">
        <f>Q27+P27</f>
        <v>2132</v>
      </c>
      <c r="Y27" s="1"/>
      <c r="Z27" s="1">
        <f t="shared" si="5"/>
        <v>0</v>
      </c>
      <c r="AA27" s="1">
        <v>130</v>
      </c>
      <c r="AB27" s="1"/>
      <c r="AC27">
        <f t="shared" si="15"/>
        <v>1502</v>
      </c>
      <c r="AD27" s="1"/>
      <c r="AE27" s="1">
        <f t="shared" si="16"/>
        <v>30</v>
      </c>
      <c r="AF27" s="1">
        <f t="shared" si="6"/>
        <v>1472</v>
      </c>
      <c r="AG27" s="1">
        <f t="shared" si="7"/>
        <v>1472</v>
      </c>
      <c r="AI27">
        <f t="shared" si="8"/>
        <v>0</v>
      </c>
      <c r="AJ27">
        <f t="shared" si="9"/>
        <v>0</v>
      </c>
      <c r="AK27">
        <f t="shared" si="10"/>
        <v>0</v>
      </c>
      <c r="AL27">
        <f t="shared" si="11"/>
        <v>1632</v>
      </c>
      <c r="AN27">
        <f t="shared" si="17"/>
        <v>0</v>
      </c>
      <c r="AO27">
        <f t="shared" si="18"/>
        <v>0</v>
      </c>
      <c r="AP27">
        <f t="shared" si="19"/>
        <v>0</v>
      </c>
      <c r="AQ27">
        <f t="shared" si="20"/>
        <v>1632</v>
      </c>
    </row>
    <row r="28" spans="2:43" ht="14.45" x14ac:dyDescent="0.3">
      <c r="B28" s="16" t="s">
        <v>106</v>
      </c>
      <c r="C28" t="s">
        <v>110</v>
      </c>
      <c r="D28" s="16" t="s">
        <v>43</v>
      </c>
      <c r="E28">
        <f t="shared" si="12"/>
        <v>6</v>
      </c>
      <c r="F28">
        <f t="shared" si="13"/>
        <v>0</v>
      </c>
      <c r="G28" t="s">
        <v>121</v>
      </c>
      <c r="H28" s="16">
        <v>6</v>
      </c>
      <c r="I28" s="16"/>
      <c r="J28" s="16" t="s">
        <v>109</v>
      </c>
      <c r="K28" t="s">
        <v>56</v>
      </c>
      <c r="L28" s="5">
        <v>0</v>
      </c>
      <c r="M28" s="4" t="s">
        <v>37</v>
      </c>
      <c r="O28" s="50">
        <v>0</v>
      </c>
      <c r="P28" s="1">
        <v>0</v>
      </c>
      <c r="Q28">
        <v>0</v>
      </c>
      <c r="R28" s="6" t="s">
        <v>43</v>
      </c>
      <c r="S28" s="72">
        <v>4</v>
      </c>
      <c r="T28" s="72">
        <f t="shared" si="14"/>
        <v>0</v>
      </c>
      <c r="U28" s="7" t="str">
        <f t="shared" si="21"/>
        <v>NONE</v>
      </c>
      <c r="V28" s="68"/>
      <c r="W28" s="5"/>
      <c r="X28" s="1">
        <f t="shared" ref="X28:X72" si="22">Q28+P28</f>
        <v>0</v>
      </c>
      <c r="Y28" s="1"/>
      <c r="Z28" s="1">
        <f t="shared" si="5"/>
        <v>0</v>
      </c>
      <c r="AA28" s="1">
        <v>130</v>
      </c>
      <c r="AB28" s="1"/>
      <c r="AC28">
        <f t="shared" si="15"/>
        <v>-130</v>
      </c>
      <c r="AD28" s="1"/>
      <c r="AE28" s="1">
        <f t="shared" si="16"/>
        <v>0</v>
      </c>
      <c r="AF28" s="1">
        <f t="shared" si="6"/>
        <v>0</v>
      </c>
      <c r="AG28" s="1">
        <f t="shared" si="7"/>
        <v>-130</v>
      </c>
      <c r="AI28">
        <f t="shared" si="8"/>
        <v>0</v>
      </c>
      <c r="AJ28">
        <f t="shared" si="9"/>
        <v>0</v>
      </c>
      <c r="AK28">
        <f t="shared" si="10"/>
        <v>0</v>
      </c>
      <c r="AL28">
        <f t="shared" si="11"/>
        <v>0</v>
      </c>
      <c r="AN28">
        <f t="shared" si="17"/>
        <v>0</v>
      </c>
      <c r="AO28">
        <f t="shared" si="18"/>
        <v>0</v>
      </c>
      <c r="AP28">
        <f t="shared" si="19"/>
        <v>0</v>
      </c>
      <c r="AQ28">
        <f t="shared" si="20"/>
        <v>0</v>
      </c>
    </row>
    <row r="29" spans="2:43" ht="14.45" x14ac:dyDescent="0.3">
      <c r="B29" s="16" t="s">
        <v>83</v>
      </c>
      <c r="C29" s="8" t="s">
        <v>42</v>
      </c>
      <c r="D29" s="16" t="s">
        <v>43</v>
      </c>
      <c r="E29">
        <f t="shared" si="12"/>
        <v>2</v>
      </c>
      <c r="F29">
        <f t="shared" si="13"/>
        <v>0</v>
      </c>
      <c r="G29" t="s">
        <v>129</v>
      </c>
      <c r="H29" s="16">
        <v>2</v>
      </c>
      <c r="I29" s="16"/>
      <c r="J29" s="16" t="s">
        <v>94</v>
      </c>
      <c r="K29" t="s">
        <v>56</v>
      </c>
      <c r="L29" s="5">
        <v>0</v>
      </c>
      <c r="M29" s="4" t="s">
        <v>37</v>
      </c>
      <c r="O29" s="50"/>
      <c r="P29" s="1"/>
      <c r="R29" s="6"/>
      <c r="S29" s="72">
        <v>4</v>
      </c>
      <c r="T29" s="72">
        <f t="shared" si="14"/>
        <v>0</v>
      </c>
      <c r="U29" s="7" t="str">
        <f t="shared" si="21"/>
        <v>NONE</v>
      </c>
      <c r="V29" s="68"/>
      <c r="W29" s="5"/>
      <c r="X29" s="1">
        <f t="shared" si="22"/>
        <v>0</v>
      </c>
      <c r="Y29" s="1"/>
      <c r="Z29" s="1">
        <f t="shared" si="5"/>
        <v>0</v>
      </c>
      <c r="AA29" s="1">
        <v>130</v>
      </c>
      <c r="AB29" s="1"/>
      <c r="AC29">
        <f t="shared" si="15"/>
        <v>-130</v>
      </c>
      <c r="AD29" s="1"/>
      <c r="AE29" s="1">
        <f t="shared" si="16"/>
        <v>0</v>
      </c>
      <c r="AF29" s="1">
        <f t="shared" si="6"/>
        <v>0</v>
      </c>
      <c r="AG29" s="1">
        <f t="shared" si="7"/>
        <v>-130</v>
      </c>
      <c r="AI29">
        <f t="shared" si="8"/>
        <v>0</v>
      </c>
      <c r="AJ29">
        <f t="shared" si="9"/>
        <v>0</v>
      </c>
      <c r="AK29">
        <f t="shared" si="10"/>
        <v>0</v>
      </c>
      <c r="AL29">
        <f t="shared" si="11"/>
        <v>0</v>
      </c>
      <c r="AN29">
        <f t="shared" si="17"/>
        <v>0</v>
      </c>
      <c r="AO29">
        <f t="shared" si="18"/>
        <v>0</v>
      </c>
      <c r="AP29">
        <f t="shared" si="19"/>
        <v>0</v>
      </c>
      <c r="AQ29">
        <f t="shared" si="20"/>
        <v>0</v>
      </c>
    </row>
    <row r="30" spans="2:43" ht="14.45" x14ac:dyDescent="0.3">
      <c r="B30" s="16" t="s">
        <v>101</v>
      </c>
      <c r="C30" s="16" t="s">
        <v>102</v>
      </c>
      <c r="D30" s="16" t="s">
        <v>62</v>
      </c>
      <c r="E30">
        <f t="shared" si="12"/>
        <v>0</v>
      </c>
      <c r="F30">
        <f t="shared" si="13"/>
        <v>1</v>
      </c>
      <c r="G30" s="16" t="s">
        <v>103</v>
      </c>
      <c r="H30" s="16">
        <v>7</v>
      </c>
      <c r="I30" s="16"/>
      <c r="J30" s="16" t="s">
        <v>104</v>
      </c>
      <c r="K30" t="s">
        <v>56</v>
      </c>
      <c r="L30" s="5">
        <v>0</v>
      </c>
      <c r="M30" s="4" t="s">
        <v>37</v>
      </c>
      <c r="O30" s="50">
        <v>1431</v>
      </c>
      <c r="P30" s="1">
        <v>544</v>
      </c>
      <c r="Q30">
        <f>(O30+500)-P30</f>
        <v>1387</v>
      </c>
      <c r="R30" s="6" t="s">
        <v>105</v>
      </c>
      <c r="S30" s="72">
        <v>4</v>
      </c>
      <c r="T30" s="72">
        <f t="shared" si="14"/>
        <v>75.308999999999997</v>
      </c>
      <c r="U30" s="7" t="str">
        <f t="shared" si="21"/>
        <v>PAYPAL</v>
      </c>
      <c r="V30" s="68">
        <v>2</v>
      </c>
      <c r="W30" t="s">
        <v>167</v>
      </c>
      <c r="X30" s="1">
        <f t="shared" si="22"/>
        <v>1931</v>
      </c>
      <c r="Y30" s="1"/>
      <c r="Z30" s="1">
        <f t="shared" si="5"/>
        <v>0</v>
      </c>
      <c r="AA30" s="1">
        <v>130</v>
      </c>
      <c r="AB30" s="1"/>
      <c r="AC30">
        <f t="shared" si="15"/>
        <v>1301</v>
      </c>
      <c r="AD30" s="1"/>
      <c r="AE30" s="1">
        <f t="shared" si="16"/>
        <v>30</v>
      </c>
      <c r="AF30" s="1">
        <f t="shared" si="6"/>
        <v>1271</v>
      </c>
      <c r="AG30" s="1">
        <f t="shared" si="7"/>
        <v>1271</v>
      </c>
      <c r="AI30">
        <f t="shared" si="8"/>
        <v>0</v>
      </c>
      <c r="AJ30">
        <f t="shared" si="9"/>
        <v>0</v>
      </c>
      <c r="AK30">
        <f t="shared" si="10"/>
        <v>0</v>
      </c>
      <c r="AL30">
        <f t="shared" si="11"/>
        <v>1431</v>
      </c>
      <c r="AN30">
        <f t="shared" si="17"/>
        <v>0</v>
      </c>
      <c r="AO30">
        <f t="shared" si="18"/>
        <v>0</v>
      </c>
      <c r="AP30">
        <f t="shared" si="19"/>
        <v>0</v>
      </c>
      <c r="AQ30">
        <f t="shared" si="20"/>
        <v>1431</v>
      </c>
    </row>
    <row r="31" spans="2:43" ht="14.45" x14ac:dyDescent="0.3">
      <c r="B31" s="16" t="s">
        <v>177</v>
      </c>
      <c r="C31" t="s">
        <v>176</v>
      </c>
      <c r="D31" s="16" t="s">
        <v>90</v>
      </c>
      <c r="E31">
        <f t="shared" si="12"/>
        <v>0</v>
      </c>
      <c r="G31" t="s">
        <v>182</v>
      </c>
      <c r="H31" s="16">
        <v>8</v>
      </c>
      <c r="I31" s="16"/>
      <c r="J31" s="16" t="s">
        <v>178</v>
      </c>
      <c r="K31" t="s">
        <v>56</v>
      </c>
      <c r="L31" s="5">
        <v>0</v>
      </c>
      <c r="M31" s="4" t="s">
        <v>37</v>
      </c>
      <c r="O31" s="50">
        <v>1296</v>
      </c>
      <c r="P31" s="1">
        <v>527</v>
      </c>
      <c r="Q31">
        <f>IF(O31&gt;0,((O31+500)-P31),0)</f>
        <v>1269</v>
      </c>
      <c r="R31" s="6" t="s">
        <v>160</v>
      </c>
      <c r="S31" s="72">
        <v>4</v>
      </c>
      <c r="T31" s="72">
        <f t="shared" si="14"/>
        <v>70.043999999999997</v>
      </c>
      <c r="U31" s="7" t="str">
        <f t="shared" si="21"/>
        <v>PAYPAL</v>
      </c>
      <c r="V31" s="68">
        <v>2</v>
      </c>
      <c r="W31" s="5" t="s">
        <v>26</v>
      </c>
      <c r="X31" s="1">
        <f t="shared" si="22"/>
        <v>1796</v>
      </c>
      <c r="Y31" s="1"/>
      <c r="Z31" s="1">
        <f t="shared" si="5"/>
        <v>0</v>
      </c>
      <c r="AA31" s="1">
        <v>130</v>
      </c>
      <c r="AB31" s="1"/>
      <c r="AC31">
        <f>O31-AA31</f>
        <v>1166</v>
      </c>
      <c r="AD31" s="1"/>
      <c r="AE31" s="1">
        <v>30</v>
      </c>
      <c r="AF31" s="1">
        <f t="shared" si="6"/>
        <v>1136</v>
      </c>
      <c r="AG31" s="1">
        <f t="shared" si="7"/>
        <v>1136</v>
      </c>
      <c r="AI31">
        <f t="shared" si="8"/>
        <v>0</v>
      </c>
      <c r="AJ31">
        <f t="shared" si="9"/>
        <v>0</v>
      </c>
      <c r="AK31">
        <f t="shared" si="10"/>
        <v>0</v>
      </c>
      <c r="AL31">
        <f t="shared" si="11"/>
        <v>1296</v>
      </c>
      <c r="AN31">
        <f t="shared" si="17"/>
        <v>0</v>
      </c>
      <c r="AO31">
        <f t="shared" si="18"/>
        <v>0</v>
      </c>
      <c r="AP31">
        <f t="shared" si="19"/>
        <v>0</v>
      </c>
      <c r="AQ31">
        <f t="shared" si="20"/>
        <v>1296</v>
      </c>
    </row>
    <row r="32" spans="2:43" ht="14.45" x14ac:dyDescent="0.3">
      <c r="B32" s="8" t="s">
        <v>165</v>
      </c>
      <c r="C32" t="s">
        <v>158</v>
      </c>
      <c r="D32" s="16" t="s">
        <v>159</v>
      </c>
      <c r="E32">
        <f t="shared" si="12"/>
        <v>0</v>
      </c>
      <c r="F32">
        <f t="shared" si="13"/>
        <v>1</v>
      </c>
      <c r="G32" t="s">
        <v>163</v>
      </c>
      <c r="H32" s="16">
        <v>7</v>
      </c>
      <c r="I32" s="16"/>
      <c r="J32" s="16" t="s">
        <v>64</v>
      </c>
      <c r="K32" t="s">
        <v>56</v>
      </c>
      <c r="L32" s="5">
        <v>0</v>
      </c>
      <c r="M32" s="4" t="s">
        <v>37</v>
      </c>
      <c r="O32" s="50">
        <v>1317</v>
      </c>
      <c r="P32" s="1">
        <v>527</v>
      </c>
      <c r="Q32">
        <f>IF(O32&gt;0,((O32+500)-P32),0)</f>
        <v>1290</v>
      </c>
      <c r="R32" s="6" t="s">
        <v>160</v>
      </c>
      <c r="S32" s="72">
        <v>4</v>
      </c>
      <c r="T32" s="72">
        <f t="shared" si="14"/>
        <v>70.863</v>
      </c>
      <c r="U32" s="7" t="str">
        <f t="shared" si="21"/>
        <v>PAYPAL</v>
      </c>
      <c r="V32" s="68">
        <v>2</v>
      </c>
      <c r="W32" s="5" t="s">
        <v>26</v>
      </c>
      <c r="X32" s="1">
        <f>Q32+P32</f>
        <v>1817</v>
      </c>
      <c r="Y32" s="1"/>
      <c r="Z32" s="1">
        <f t="shared" si="5"/>
        <v>0</v>
      </c>
      <c r="AA32" s="1">
        <v>130</v>
      </c>
      <c r="AB32" s="1"/>
      <c r="AC32">
        <f t="shared" si="15"/>
        <v>1187</v>
      </c>
      <c r="AD32" s="1"/>
      <c r="AE32" s="1">
        <f t="shared" si="16"/>
        <v>30</v>
      </c>
      <c r="AF32" s="1">
        <f t="shared" si="6"/>
        <v>1157</v>
      </c>
      <c r="AG32" s="1">
        <f t="shared" si="7"/>
        <v>1157</v>
      </c>
      <c r="AI32">
        <f t="shared" si="8"/>
        <v>0</v>
      </c>
      <c r="AJ32">
        <f t="shared" si="9"/>
        <v>0</v>
      </c>
      <c r="AK32">
        <f t="shared" si="10"/>
        <v>0</v>
      </c>
      <c r="AL32">
        <f t="shared" si="11"/>
        <v>1317</v>
      </c>
      <c r="AN32">
        <f t="shared" si="17"/>
        <v>0</v>
      </c>
      <c r="AO32">
        <f t="shared" si="18"/>
        <v>0</v>
      </c>
      <c r="AP32">
        <f t="shared" si="19"/>
        <v>0</v>
      </c>
      <c r="AQ32">
        <f t="shared" si="20"/>
        <v>1317</v>
      </c>
    </row>
    <row r="33" spans="1:44" ht="14.45" x14ac:dyDescent="0.3">
      <c r="B33" s="16" t="s">
        <v>83</v>
      </c>
      <c r="C33" s="8" t="s">
        <v>42</v>
      </c>
      <c r="D33" s="16" t="s">
        <v>43</v>
      </c>
      <c r="E33">
        <f t="shared" si="12"/>
        <v>4</v>
      </c>
      <c r="F33">
        <f t="shared" si="13"/>
        <v>0</v>
      </c>
      <c r="G33" t="s">
        <v>164</v>
      </c>
      <c r="H33" s="16">
        <v>4</v>
      </c>
      <c r="I33" s="16"/>
      <c r="J33" s="16" t="s">
        <v>84</v>
      </c>
      <c r="K33" t="s">
        <v>56</v>
      </c>
      <c r="L33" s="5">
        <v>3</v>
      </c>
      <c r="M33" s="4" t="s">
        <v>37</v>
      </c>
      <c r="O33" s="50">
        <v>0</v>
      </c>
      <c r="P33" s="1">
        <v>0</v>
      </c>
      <c r="Q33">
        <v>0</v>
      </c>
      <c r="R33" s="6"/>
      <c r="S33" s="72">
        <v>4</v>
      </c>
      <c r="T33" s="72">
        <f t="shared" si="14"/>
        <v>0</v>
      </c>
      <c r="U33" s="7" t="str">
        <f t="shared" si="21"/>
        <v>NONE</v>
      </c>
      <c r="V33" s="68"/>
      <c r="W33" s="5"/>
      <c r="X33" s="1">
        <f t="shared" si="22"/>
        <v>0</v>
      </c>
      <c r="Y33" s="1"/>
      <c r="Z33" s="1">
        <f t="shared" si="5"/>
        <v>0</v>
      </c>
      <c r="AA33" s="1">
        <v>130</v>
      </c>
      <c r="AB33" s="1"/>
      <c r="AC33">
        <f>O33-AA33</f>
        <v>-130</v>
      </c>
      <c r="AD33" s="1"/>
      <c r="AE33" s="1">
        <f t="shared" si="16"/>
        <v>0</v>
      </c>
      <c r="AF33" s="1">
        <f t="shared" si="6"/>
        <v>0</v>
      </c>
      <c r="AG33" s="1">
        <f t="shared" si="7"/>
        <v>-130</v>
      </c>
      <c r="AI33">
        <f t="shared" si="8"/>
        <v>0</v>
      </c>
      <c r="AJ33">
        <f t="shared" si="9"/>
        <v>0</v>
      </c>
      <c r="AK33">
        <f t="shared" si="10"/>
        <v>0</v>
      </c>
      <c r="AL33">
        <f t="shared" si="11"/>
        <v>0</v>
      </c>
      <c r="AN33">
        <f t="shared" si="17"/>
        <v>0</v>
      </c>
      <c r="AO33">
        <f t="shared" si="18"/>
        <v>0</v>
      </c>
      <c r="AP33">
        <f t="shared" si="19"/>
        <v>0</v>
      </c>
      <c r="AQ33">
        <f t="shared" si="20"/>
        <v>0</v>
      </c>
    </row>
    <row r="34" spans="1:44" ht="14.45" x14ac:dyDescent="0.3">
      <c r="A34" s="45"/>
      <c r="B34" s="194">
        <f>COUNTIFS(D17:D33,"&lt;&gt;NA")-COUNTIFS(D17:D33,"="&amp;$D$1)</f>
        <v>12</v>
      </c>
      <c r="C34" s="174" t="s">
        <v>479</v>
      </c>
      <c r="D34" s="46">
        <f>SUM(E17:E33)</f>
        <v>27</v>
      </c>
      <c r="E34" s="45"/>
      <c r="F34" s="45"/>
      <c r="G34" s="63" t="s">
        <v>219</v>
      </c>
      <c r="H34" s="62">
        <f>SUM(H17:H33)-SUM(E17:E33)</f>
        <v>113</v>
      </c>
      <c r="I34" s="62"/>
      <c r="J34" s="61">
        <f>ROUND(H34/7,0)</f>
        <v>16</v>
      </c>
      <c r="K34" s="61" t="s">
        <v>218</v>
      </c>
      <c r="L34" s="63" t="s">
        <v>220</v>
      </c>
      <c r="M34" s="151">
        <f>ROUND(AF34/J34,0)</f>
        <v>1181</v>
      </c>
      <c r="N34" s="45"/>
      <c r="O34" s="82">
        <f>SUM(O17:O33)</f>
        <v>20876</v>
      </c>
      <c r="P34" s="49"/>
      <c r="Q34" s="80">
        <f>Z34</f>
        <v>0</v>
      </c>
      <c r="R34" s="79" t="s">
        <v>258</v>
      </c>
      <c r="S34" s="126"/>
      <c r="T34" s="73"/>
      <c r="U34" s="49"/>
      <c r="V34" s="69"/>
      <c r="W34" s="47"/>
      <c r="X34" s="49"/>
      <c r="Y34" s="49">
        <f>Z34</f>
        <v>0</v>
      </c>
      <c r="Z34" s="49">
        <f>SUM(Z17:Z33)</f>
        <v>0</v>
      </c>
      <c r="AA34" s="49">
        <f>SUM(AA17:AA33)</f>
        <v>2005</v>
      </c>
      <c r="AB34" s="49">
        <f>AA34</f>
        <v>2005</v>
      </c>
      <c r="AC34" s="45"/>
      <c r="AD34" s="49"/>
      <c r="AE34" s="49">
        <f>SUM(AE17:AE33)</f>
        <v>360</v>
      </c>
      <c r="AF34" s="49">
        <f>SUM(AF17:AF33)</f>
        <v>18901</v>
      </c>
      <c r="AG34" s="82">
        <f>SUM(AG17:AG33)</f>
        <v>18511</v>
      </c>
      <c r="AH34" s="45">
        <f>AG34</f>
        <v>18511</v>
      </c>
      <c r="AI34" s="129">
        <f>SUM(AI17:AI33)</f>
        <v>0</v>
      </c>
      <c r="AJ34" s="129">
        <f t="shared" ref="AJ34:AQ34" si="23">SUM(AJ17:AJ33)</f>
        <v>2656</v>
      </c>
      <c r="AK34" s="129">
        <f t="shared" si="23"/>
        <v>7508</v>
      </c>
      <c r="AL34" s="129">
        <f t="shared" si="23"/>
        <v>10712</v>
      </c>
      <c r="AM34" s="131">
        <f>SUM(AI34:AL34)</f>
        <v>20876</v>
      </c>
      <c r="AN34" s="129">
        <f t="shared" si="23"/>
        <v>0</v>
      </c>
      <c r="AO34" s="129">
        <f t="shared" si="23"/>
        <v>2656</v>
      </c>
      <c r="AP34" s="129">
        <f t="shared" si="23"/>
        <v>7508</v>
      </c>
      <c r="AQ34" s="129">
        <f t="shared" si="23"/>
        <v>10712</v>
      </c>
      <c r="AR34" s="131">
        <f>SUM(AN34:AQ34)</f>
        <v>20876</v>
      </c>
    </row>
    <row r="35" spans="1:44" ht="23.45" x14ac:dyDescent="0.45">
      <c r="A35" s="31"/>
      <c r="B35" s="28">
        <v>2011</v>
      </c>
      <c r="C35" s="29"/>
      <c r="D35" s="30"/>
      <c r="E35" s="31">
        <f t="shared" si="12"/>
        <v>0</v>
      </c>
      <c r="F35" s="31"/>
      <c r="G35" s="30"/>
      <c r="H35" s="30"/>
      <c r="I35" s="30"/>
      <c r="J35" s="30"/>
      <c r="K35" s="31"/>
      <c r="L35" s="32"/>
      <c r="M35" s="33"/>
      <c r="N35" s="31"/>
      <c r="O35" s="34"/>
      <c r="P35" s="34"/>
      <c r="Q35" s="31"/>
      <c r="R35" s="35"/>
      <c r="S35" s="71"/>
      <c r="T35" s="71"/>
      <c r="U35" s="34"/>
      <c r="V35" s="70"/>
      <c r="W35" s="32"/>
      <c r="X35" s="34"/>
      <c r="Y35" s="34"/>
      <c r="Z35" s="34"/>
      <c r="AA35" s="34"/>
      <c r="AB35" s="34"/>
      <c r="AC35" s="31"/>
      <c r="AD35" s="34"/>
      <c r="AE35" s="34"/>
      <c r="AF35" s="34"/>
      <c r="AG35" s="34"/>
      <c r="AI35" s="119">
        <f>ROUNDUP(AI34*0.04,0)</f>
        <v>0</v>
      </c>
      <c r="AJ35" s="119">
        <f t="shared" ref="AJ35:AL35" si="24">ROUNDUP(AJ34*0.04,0)</f>
        <v>107</v>
      </c>
      <c r="AK35" s="119">
        <f t="shared" si="24"/>
        <v>301</v>
      </c>
      <c r="AL35" s="119">
        <f t="shared" si="24"/>
        <v>429</v>
      </c>
      <c r="AM35" s="131">
        <f t="shared" ref="AM35" si="25">SUM(AI35:AL35)</f>
        <v>837</v>
      </c>
      <c r="AN35" s="119">
        <f>ROUNDUP(AN34*0.06,0)</f>
        <v>0</v>
      </c>
      <c r="AO35" s="119">
        <f t="shared" ref="AO35:AQ35" si="26">ROUNDUP(AO34*0.06,0)</f>
        <v>160</v>
      </c>
      <c r="AP35" s="119">
        <f t="shared" si="26"/>
        <v>451</v>
      </c>
      <c r="AQ35" s="119">
        <f t="shared" si="26"/>
        <v>643</v>
      </c>
      <c r="AR35" s="131">
        <f t="shared" ref="AR35" si="27">SUM(AN35:AQ35)</f>
        <v>1254</v>
      </c>
    </row>
    <row r="36" spans="1:44" ht="14.45" x14ac:dyDescent="0.3">
      <c r="B36" s="104" t="s">
        <v>83</v>
      </c>
      <c r="C36" s="8" t="s">
        <v>42</v>
      </c>
      <c r="D36" s="16" t="s">
        <v>43</v>
      </c>
      <c r="E36">
        <f t="shared" si="12"/>
        <v>58</v>
      </c>
      <c r="F36">
        <f t="shared" ref="F36:F72" si="28">IF(E36&gt;0,0,1)</f>
        <v>0</v>
      </c>
      <c r="G36" t="s">
        <v>233</v>
      </c>
      <c r="H36" s="16">
        <v>58</v>
      </c>
      <c r="I36" s="16"/>
      <c r="J36" s="16" t="s">
        <v>84</v>
      </c>
      <c r="K36" t="s">
        <v>56</v>
      </c>
      <c r="L36" s="5">
        <v>3</v>
      </c>
      <c r="M36" s="4" t="s">
        <v>97</v>
      </c>
      <c r="O36" s="50">
        <v>0</v>
      </c>
      <c r="P36" s="1"/>
      <c r="Q36">
        <v>0</v>
      </c>
      <c r="R36" s="6"/>
      <c r="S36" s="72">
        <v>1</v>
      </c>
      <c r="T36" s="72">
        <f t="shared" ref="T36:T70" si="29">IF(U36=$AD$2,47,IF(U36=$AD$1,((Q36+P36)*0.039),IF(U36=$AD$3,0)))</f>
        <v>0</v>
      </c>
      <c r="U36" s="7" t="str">
        <f t="shared" ref="U36:U72" si="30">IF(V36=1,$AD$2,IF(V36=2,$AD$1,IF(AND(V36&lt;&gt;1,V36&lt;&gt;20)=TRUE,$AD$3)))</f>
        <v>NONE</v>
      </c>
      <c r="V36" s="68"/>
      <c r="W36" s="5" t="s">
        <v>43</v>
      </c>
      <c r="X36" s="1">
        <f t="shared" si="22"/>
        <v>0</v>
      </c>
      <c r="Y36" s="1"/>
      <c r="Z36" s="1">
        <f t="shared" ref="Z36:Z72" si="31">IF(W36=$Z$1,Q36-500,0)</f>
        <v>0</v>
      </c>
      <c r="AA36" s="1">
        <f>390+40</f>
        <v>430</v>
      </c>
      <c r="AB36" s="1"/>
      <c r="AC36">
        <f t="shared" si="15"/>
        <v>-430</v>
      </c>
      <c r="AD36" s="1"/>
      <c r="AE36" s="1">
        <f t="shared" ref="AE36:AE72" si="32">IF(H36&gt;0,30*F36,0)</f>
        <v>0</v>
      </c>
      <c r="AF36" s="1">
        <f>IF(AG36&gt;0,AG36,0)</f>
        <v>0</v>
      </c>
      <c r="AG36" s="1">
        <f>AC36</f>
        <v>-430</v>
      </c>
      <c r="AI36">
        <f>IF(S41=1,O36,0)</f>
        <v>0</v>
      </c>
      <c r="AJ36">
        <f>IF(S41=2,O36,0)</f>
        <v>0</v>
      </c>
      <c r="AK36">
        <f>IF(S41=3,O36,0)</f>
        <v>0</v>
      </c>
      <c r="AL36">
        <f>IF(S41=4,O36,0)</f>
        <v>0</v>
      </c>
      <c r="AN36">
        <f t="shared" ref="AN36" si="33">IF(S36=1,O36,0)</f>
        <v>0</v>
      </c>
      <c r="AO36">
        <f t="shared" ref="AO36" si="34">IF(S36=2,O36,0)</f>
        <v>0</v>
      </c>
      <c r="AP36">
        <f t="shared" ref="AP36" si="35">IF(S36=3,O36,0)</f>
        <v>0</v>
      </c>
      <c r="AQ36">
        <f t="shared" ref="AQ36" si="36">IF(S36=4,O36,0)</f>
        <v>0</v>
      </c>
    </row>
    <row r="37" spans="1:44" ht="14.45" x14ac:dyDescent="0.3">
      <c r="B37" s="55" t="s">
        <v>153</v>
      </c>
      <c r="C37" t="s">
        <v>154</v>
      </c>
      <c r="D37" t="s">
        <v>90</v>
      </c>
      <c r="E37">
        <f t="shared" si="12"/>
        <v>0</v>
      </c>
      <c r="F37">
        <f t="shared" si="28"/>
        <v>1</v>
      </c>
      <c r="G37" s="8" t="s">
        <v>234</v>
      </c>
      <c r="H37" s="16">
        <v>2</v>
      </c>
      <c r="I37" s="16"/>
      <c r="J37" s="16" t="s">
        <v>84</v>
      </c>
      <c r="K37" t="s">
        <v>56</v>
      </c>
      <c r="L37" s="5">
        <v>0</v>
      </c>
      <c r="M37" s="4" t="s">
        <v>37</v>
      </c>
      <c r="O37" s="50">
        <v>1317</v>
      </c>
      <c r="P37" s="1">
        <v>527</v>
      </c>
      <c r="Q37">
        <f>(O37+500)-P37</f>
        <v>1290</v>
      </c>
      <c r="R37" s="6" t="s">
        <v>155</v>
      </c>
      <c r="S37" s="72">
        <v>1</v>
      </c>
      <c r="T37" s="72">
        <f t="shared" si="29"/>
        <v>70.863</v>
      </c>
      <c r="U37" s="7" t="str">
        <f t="shared" si="30"/>
        <v>PAYPAL</v>
      </c>
      <c r="V37" s="68">
        <v>2</v>
      </c>
      <c r="W37" s="5" t="s">
        <v>26</v>
      </c>
      <c r="X37" s="1">
        <f t="shared" si="22"/>
        <v>1817</v>
      </c>
      <c r="Y37" s="1"/>
      <c r="Z37" s="1">
        <f t="shared" si="31"/>
        <v>0</v>
      </c>
      <c r="AA37" s="1">
        <f>IF(H37&gt;0,130,0)</f>
        <v>130</v>
      </c>
      <c r="AB37" s="1"/>
      <c r="AC37">
        <f t="shared" si="15"/>
        <v>1187</v>
      </c>
      <c r="AD37" s="1"/>
      <c r="AE37" s="1">
        <f t="shared" si="32"/>
        <v>30</v>
      </c>
      <c r="AF37" s="1">
        <f t="shared" ref="AF37:AF72" si="37">IF(AG37&gt;0,AG37,0)</f>
        <v>1157</v>
      </c>
      <c r="AG37" s="1">
        <f t="shared" ref="AG37:AG72" si="38">AC37-AE37</f>
        <v>1157</v>
      </c>
      <c r="AI37">
        <f t="shared" ref="AI37:AI72" si="39">IF(S37=1,O37,0)</f>
        <v>1317</v>
      </c>
      <c r="AJ37">
        <f t="shared" ref="AJ37:AJ72" si="40">IF(S37=2,O37,0)</f>
        <v>0</v>
      </c>
      <c r="AK37">
        <f t="shared" ref="AK37:AK72" si="41">IF(S37=3,O37,0)</f>
        <v>0</v>
      </c>
      <c r="AL37">
        <f t="shared" ref="AL37:AL72" si="42">IF(S37=4,O37,0)</f>
        <v>0</v>
      </c>
      <c r="AN37">
        <f t="shared" ref="AN37:AN72" si="43">IF(S37=1,O37,0)</f>
        <v>1317</v>
      </c>
      <c r="AO37">
        <f t="shared" ref="AO37:AO72" si="44">IF(S37=2,O37,0)</f>
        <v>0</v>
      </c>
      <c r="AP37">
        <f t="shared" ref="AP37:AP72" si="45">IF(S37=3,O37,0)</f>
        <v>0</v>
      </c>
      <c r="AQ37">
        <f t="shared" ref="AQ37:AQ72" si="46">IF(S37=4,O37,0)</f>
        <v>0</v>
      </c>
    </row>
    <row r="38" spans="1:44" ht="14.45" x14ac:dyDescent="0.3">
      <c r="B38" t="s">
        <v>196</v>
      </c>
      <c r="C38" t="s">
        <v>110</v>
      </c>
      <c r="D38" s="16" t="s">
        <v>43</v>
      </c>
      <c r="E38">
        <f>IF(D38=$B$12,H38,0)</f>
        <v>4</v>
      </c>
      <c r="F38">
        <f>IF(E38&gt;0,0,1)</f>
        <v>0</v>
      </c>
      <c r="G38" t="s">
        <v>197</v>
      </c>
      <c r="H38" s="16">
        <v>4</v>
      </c>
      <c r="I38" s="16"/>
      <c r="J38" s="16" t="s">
        <v>194</v>
      </c>
      <c r="K38" t="s">
        <v>56</v>
      </c>
      <c r="L38" s="5" t="s">
        <v>56</v>
      </c>
      <c r="M38" s="4" t="s">
        <v>195</v>
      </c>
      <c r="O38" s="50">
        <v>0</v>
      </c>
      <c r="P38" s="1">
        <f>ROUND((O38*0.4),0)</f>
        <v>0</v>
      </c>
      <c r="Q38">
        <f>IF(O38&gt;0,((O38+500)-P38),0)</f>
        <v>0</v>
      </c>
      <c r="R38" s="6"/>
      <c r="S38" s="72">
        <v>1</v>
      </c>
      <c r="T38" s="72">
        <f t="shared" si="29"/>
        <v>0</v>
      </c>
      <c r="U38" s="7" t="str">
        <f t="shared" si="30"/>
        <v>NONE</v>
      </c>
      <c r="V38" s="68"/>
      <c r="W38" s="5"/>
      <c r="X38" s="1">
        <f t="shared" si="22"/>
        <v>0</v>
      </c>
      <c r="Y38" s="1"/>
      <c r="Z38" s="1">
        <f t="shared" si="31"/>
        <v>0</v>
      </c>
      <c r="AA38" s="1">
        <f t="shared" ref="AA38:AA70" si="47">IF(H38&gt;0,130,0)</f>
        <v>130</v>
      </c>
      <c r="AB38" s="1"/>
      <c r="AC38">
        <f t="shared" si="15"/>
        <v>-130</v>
      </c>
      <c r="AD38" s="1"/>
      <c r="AE38" s="1">
        <f>IF(H38&gt;0,30*F38,0)</f>
        <v>0</v>
      </c>
      <c r="AF38" s="1">
        <f t="shared" si="37"/>
        <v>0</v>
      </c>
      <c r="AG38" s="1">
        <f t="shared" si="38"/>
        <v>-130</v>
      </c>
      <c r="AI38">
        <f t="shared" si="39"/>
        <v>0</v>
      </c>
      <c r="AJ38">
        <f t="shared" si="40"/>
        <v>0</v>
      </c>
      <c r="AK38">
        <f t="shared" si="41"/>
        <v>0</v>
      </c>
      <c r="AL38">
        <f t="shared" si="42"/>
        <v>0</v>
      </c>
      <c r="AN38">
        <f t="shared" si="43"/>
        <v>0</v>
      </c>
      <c r="AO38">
        <f t="shared" si="44"/>
        <v>0</v>
      </c>
      <c r="AP38">
        <f t="shared" si="45"/>
        <v>0</v>
      </c>
      <c r="AQ38">
        <f t="shared" si="46"/>
        <v>0</v>
      </c>
    </row>
    <row r="39" spans="1:44" ht="14.45" x14ac:dyDescent="0.3">
      <c r="B39" s="17" t="s">
        <v>86</v>
      </c>
      <c r="C39" t="s">
        <v>263</v>
      </c>
      <c r="D39" s="16" t="s">
        <v>31</v>
      </c>
      <c r="E39">
        <f t="shared" si="12"/>
        <v>0</v>
      </c>
      <c r="F39">
        <f t="shared" si="28"/>
        <v>1</v>
      </c>
      <c r="G39" t="s">
        <v>235</v>
      </c>
      <c r="H39" s="16">
        <v>7</v>
      </c>
      <c r="I39" s="16"/>
      <c r="J39" s="16" t="s">
        <v>36</v>
      </c>
      <c r="K39" t="s">
        <v>56</v>
      </c>
      <c r="L39" s="5">
        <v>0</v>
      </c>
      <c r="M39" s="4" t="s">
        <v>37</v>
      </c>
      <c r="O39" s="50">
        <v>1580</v>
      </c>
      <c r="P39" s="1">
        <f>O39*0.4</f>
        <v>632</v>
      </c>
      <c r="Q39">
        <v>1548</v>
      </c>
      <c r="R39" s="6" t="s">
        <v>87</v>
      </c>
      <c r="S39" s="72">
        <v>1</v>
      </c>
      <c r="T39" s="72">
        <f t="shared" si="29"/>
        <v>85.02</v>
      </c>
      <c r="U39" s="7" t="str">
        <f t="shared" si="30"/>
        <v>PAYPAL</v>
      </c>
      <c r="V39" s="68">
        <v>2</v>
      </c>
      <c r="W39" t="s">
        <v>264</v>
      </c>
      <c r="X39" s="1">
        <f t="shared" si="22"/>
        <v>2180</v>
      </c>
      <c r="Y39" s="1"/>
      <c r="Z39" s="1">
        <f t="shared" si="31"/>
        <v>0</v>
      </c>
      <c r="AA39" s="1">
        <f t="shared" si="47"/>
        <v>130</v>
      </c>
      <c r="AB39" s="1"/>
      <c r="AC39">
        <f>O39-AA39</f>
        <v>1450</v>
      </c>
      <c r="AD39" s="1"/>
      <c r="AE39" s="1">
        <f t="shared" si="32"/>
        <v>30</v>
      </c>
      <c r="AF39" s="1">
        <f t="shared" si="37"/>
        <v>1420</v>
      </c>
      <c r="AG39" s="1">
        <f t="shared" si="38"/>
        <v>1420</v>
      </c>
      <c r="AI39">
        <f t="shared" si="39"/>
        <v>1580</v>
      </c>
      <c r="AJ39">
        <f t="shared" si="40"/>
        <v>0</v>
      </c>
      <c r="AK39">
        <f t="shared" si="41"/>
        <v>0</v>
      </c>
      <c r="AL39">
        <f t="shared" si="42"/>
        <v>0</v>
      </c>
      <c r="AN39">
        <f t="shared" si="43"/>
        <v>1580</v>
      </c>
      <c r="AO39">
        <f t="shared" si="44"/>
        <v>0</v>
      </c>
      <c r="AP39">
        <f t="shared" si="45"/>
        <v>0</v>
      </c>
      <c r="AQ39">
        <f t="shared" si="46"/>
        <v>0</v>
      </c>
    </row>
    <row r="40" spans="1:44" ht="14.45" x14ac:dyDescent="0.3">
      <c r="B40" s="8" t="s">
        <v>179</v>
      </c>
      <c r="C40" t="s">
        <v>180</v>
      </c>
      <c r="D40" s="16" t="s">
        <v>31</v>
      </c>
      <c r="E40">
        <f t="shared" si="12"/>
        <v>0</v>
      </c>
      <c r="F40">
        <f t="shared" si="28"/>
        <v>1</v>
      </c>
      <c r="G40" t="s">
        <v>181</v>
      </c>
      <c r="H40" s="16">
        <v>6</v>
      </c>
      <c r="I40" s="16"/>
      <c r="J40" s="16" t="s">
        <v>109</v>
      </c>
      <c r="K40" t="s">
        <v>56</v>
      </c>
      <c r="L40" s="5">
        <v>0</v>
      </c>
      <c r="M40" s="4" t="s">
        <v>37</v>
      </c>
      <c r="O40" s="50">
        <v>1000</v>
      </c>
      <c r="P40" s="1">
        <f>O40*0.4</f>
        <v>400</v>
      </c>
      <c r="Q40">
        <f>(O40+500)-P40</f>
        <v>1100</v>
      </c>
      <c r="R40" s="6" t="s">
        <v>160</v>
      </c>
      <c r="S40" s="72">
        <v>1</v>
      </c>
      <c r="T40" s="72">
        <f t="shared" si="29"/>
        <v>47</v>
      </c>
      <c r="U40" s="7" t="str">
        <f t="shared" si="30"/>
        <v>BANK</v>
      </c>
      <c r="V40" s="68">
        <v>1</v>
      </c>
      <c r="W40" s="5" t="s">
        <v>26</v>
      </c>
      <c r="X40" s="1">
        <f>Q40+P40</f>
        <v>1500</v>
      </c>
      <c r="Y40" s="1"/>
      <c r="Z40" s="1">
        <f t="shared" si="31"/>
        <v>0</v>
      </c>
      <c r="AA40" s="1">
        <f t="shared" si="47"/>
        <v>130</v>
      </c>
      <c r="AB40" s="1"/>
      <c r="AC40">
        <f>O40-AA40</f>
        <v>870</v>
      </c>
      <c r="AD40" s="1"/>
      <c r="AE40" s="1">
        <f>IF(H40&gt;0,30*F40,0)</f>
        <v>30</v>
      </c>
      <c r="AF40" s="1">
        <f t="shared" si="37"/>
        <v>840</v>
      </c>
      <c r="AG40" s="1">
        <f t="shared" si="38"/>
        <v>840</v>
      </c>
      <c r="AI40">
        <f t="shared" si="39"/>
        <v>1000</v>
      </c>
      <c r="AJ40">
        <f t="shared" si="40"/>
        <v>0</v>
      </c>
      <c r="AK40">
        <f t="shared" si="41"/>
        <v>0</v>
      </c>
      <c r="AL40">
        <f t="shared" si="42"/>
        <v>0</v>
      </c>
      <c r="AN40">
        <f t="shared" si="43"/>
        <v>1000</v>
      </c>
      <c r="AO40">
        <f t="shared" si="44"/>
        <v>0</v>
      </c>
      <c r="AP40">
        <f t="shared" si="45"/>
        <v>0</v>
      </c>
      <c r="AQ40">
        <f t="shared" si="46"/>
        <v>0</v>
      </c>
    </row>
    <row r="41" spans="1:44" ht="14.45" x14ac:dyDescent="0.3">
      <c r="B41" s="104" t="s">
        <v>85</v>
      </c>
      <c r="C41" s="8" t="s">
        <v>42</v>
      </c>
      <c r="D41" s="16" t="s">
        <v>43</v>
      </c>
      <c r="E41">
        <f t="shared" si="12"/>
        <v>3</v>
      </c>
      <c r="F41">
        <f t="shared" si="28"/>
        <v>0</v>
      </c>
      <c r="G41" t="s">
        <v>236</v>
      </c>
      <c r="H41" s="16">
        <v>3</v>
      </c>
      <c r="I41" s="16"/>
      <c r="J41" s="16" t="s">
        <v>94</v>
      </c>
      <c r="K41" t="s">
        <v>56</v>
      </c>
      <c r="L41" s="5">
        <v>0</v>
      </c>
      <c r="M41" s="4" t="s">
        <v>37</v>
      </c>
      <c r="O41" s="50">
        <v>0</v>
      </c>
      <c r="P41" s="1">
        <v>0</v>
      </c>
      <c r="Q41">
        <v>0</v>
      </c>
      <c r="R41" s="6"/>
      <c r="S41" s="72">
        <v>1</v>
      </c>
      <c r="T41" s="72">
        <f t="shared" si="29"/>
        <v>0</v>
      </c>
      <c r="U41" s="7" t="str">
        <f t="shared" si="30"/>
        <v>NONE</v>
      </c>
      <c r="V41" s="68"/>
      <c r="W41" s="5" t="s">
        <v>43</v>
      </c>
      <c r="X41" s="1">
        <f t="shared" si="22"/>
        <v>0</v>
      </c>
      <c r="Y41" s="1"/>
      <c r="Z41" s="1">
        <f t="shared" si="31"/>
        <v>0</v>
      </c>
      <c r="AA41" s="1">
        <f t="shared" si="47"/>
        <v>130</v>
      </c>
      <c r="AB41" s="1"/>
      <c r="AC41">
        <f t="shared" si="15"/>
        <v>-130</v>
      </c>
      <c r="AD41" s="1"/>
      <c r="AE41" s="1">
        <f t="shared" si="32"/>
        <v>0</v>
      </c>
      <c r="AF41" s="1">
        <f t="shared" si="37"/>
        <v>0</v>
      </c>
      <c r="AG41" s="1">
        <f t="shared" si="38"/>
        <v>-130</v>
      </c>
      <c r="AI41">
        <f t="shared" ref="AI41" si="48">IF(S41=1,O41,0)</f>
        <v>0</v>
      </c>
      <c r="AJ41">
        <f t="shared" ref="AJ41" si="49">IF(S41=2,O41,0)</f>
        <v>0</v>
      </c>
      <c r="AK41">
        <f t="shared" ref="AK41" si="50">IF(S41=3,O41,0)</f>
        <v>0</v>
      </c>
      <c r="AL41">
        <f t="shared" ref="AL41" si="51">IF(S41=4,O41,0)</f>
        <v>0</v>
      </c>
      <c r="AN41">
        <f t="shared" si="43"/>
        <v>0</v>
      </c>
      <c r="AO41">
        <f t="shared" si="44"/>
        <v>0</v>
      </c>
      <c r="AP41">
        <f t="shared" si="45"/>
        <v>0</v>
      </c>
      <c r="AQ41">
        <f t="shared" si="46"/>
        <v>0</v>
      </c>
    </row>
    <row r="42" spans="1:44" ht="14.45" x14ac:dyDescent="0.3">
      <c r="B42" s="16" t="s">
        <v>69</v>
      </c>
      <c r="C42" t="s">
        <v>70</v>
      </c>
      <c r="D42" s="16" t="s">
        <v>31</v>
      </c>
      <c r="E42">
        <f t="shared" si="12"/>
        <v>0</v>
      </c>
      <c r="F42">
        <f t="shared" si="28"/>
        <v>1</v>
      </c>
      <c r="G42" t="s">
        <v>237</v>
      </c>
      <c r="H42" s="16">
        <v>14</v>
      </c>
      <c r="I42" s="16"/>
      <c r="J42" s="16" t="s">
        <v>36</v>
      </c>
      <c r="K42" t="s">
        <v>56</v>
      </c>
      <c r="L42" s="5">
        <v>0</v>
      </c>
      <c r="M42" s="4" t="s">
        <v>37</v>
      </c>
      <c r="O42" s="50">
        <f>3695-500</f>
        <v>3195</v>
      </c>
      <c r="P42" s="1">
        <f>O42*0.4</f>
        <v>1278</v>
      </c>
      <c r="Q42">
        <f>(O42+500)-P42</f>
        <v>2417</v>
      </c>
      <c r="R42" s="6" t="s">
        <v>71</v>
      </c>
      <c r="S42" s="72">
        <v>1</v>
      </c>
      <c r="T42" s="72">
        <f t="shared" si="29"/>
        <v>0</v>
      </c>
      <c r="U42" s="7" t="str">
        <f t="shared" si="30"/>
        <v>NONE</v>
      </c>
      <c r="V42" s="68"/>
      <c r="W42" s="5" t="s">
        <v>264</v>
      </c>
      <c r="X42" s="1">
        <f t="shared" si="22"/>
        <v>3695</v>
      </c>
      <c r="Y42" s="1"/>
      <c r="Z42" s="1">
        <f t="shared" si="31"/>
        <v>0</v>
      </c>
      <c r="AA42" s="1">
        <f t="shared" si="47"/>
        <v>130</v>
      </c>
      <c r="AB42" s="1"/>
      <c r="AC42">
        <f t="shared" si="15"/>
        <v>3065</v>
      </c>
      <c r="AD42" s="1"/>
      <c r="AE42" s="1">
        <f t="shared" si="32"/>
        <v>30</v>
      </c>
      <c r="AF42" s="1">
        <f t="shared" si="37"/>
        <v>3035</v>
      </c>
      <c r="AG42" s="1">
        <f t="shared" si="38"/>
        <v>3035</v>
      </c>
      <c r="AI42">
        <f t="shared" si="39"/>
        <v>3195</v>
      </c>
      <c r="AJ42">
        <f t="shared" si="40"/>
        <v>0</v>
      </c>
      <c r="AK42">
        <f t="shared" si="41"/>
        <v>0</v>
      </c>
      <c r="AL42">
        <f t="shared" si="42"/>
        <v>0</v>
      </c>
      <c r="AN42">
        <f t="shared" si="43"/>
        <v>3195</v>
      </c>
      <c r="AO42">
        <f t="shared" si="44"/>
        <v>0</v>
      </c>
      <c r="AP42">
        <f t="shared" si="45"/>
        <v>0</v>
      </c>
      <c r="AQ42">
        <f t="shared" si="46"/>
        <v>0</v>
      </c>
    </row>
    <row r="43" spans="1:44" ht="14.45" x14ac:dyDescent="0.3">
      <c r="B43" s="104" t="s">
        <v>83</v>
      </c>
      <c r="C43" s="8" t="s">
        <v>42</v>
      </c>
      <c r="D43" s="16" t="s">
        <v>43</v>
      </c>
      <c r="E43">
        <f t="shared" si="12"/>
        <v>7</v>
      </c>
      <c r="F43">
        <f t="shared" si="28"/>
        <v>0</v>
      </c>
      <c r="G43" t="s">
        <v>238</v>
      </c>
      <c r="H43" s="16">
        <v>7</v>
      </c>
      <c r="I43" s="16"/>
      <c r="J43" s="16" t="s">
        <v>84</v>
      </c>
      <c r="K43" t="s">
        <v>56</v>
      </c>
      <c r="L43" s="5">
        <v>3</v>
      </c>
      <c r="M43" s="4" t="s">
        <v>37</v>
      </c>
      <c r="O43" s="50">
        <v>0</v>
      </c>
      <c r="P43" s="1">
        <v>0</v>
      </c>
      <c r="Q43">
        <v>0</v>
      </c>
      <c r="R43" s="6"/>
      <c r="S43" s="72">
        <v>2</v>
      </c>
      <c r="T43" s="72">
        <f t="shared" si="29"/>
        <v>0</v>
      </c>
      <c r="U43" s="7" t="str">
        <f t="shared" si="30"/>
        <v>NONE</v>
      </c>
      <c r="V43" s="68"/>
      <c r="W43" s="5" t="s">
        <v>43</v>
      </c>
      <c r="X43" s="1">
        <f t="shared" si="22"/>
        <v>0</v>
      </c>
      <c r="Y43" s="1"/>
      <c r="Z43" s="1">
        <f t="shared" si="31"/>
        <v>0</v>
      </c>
      <c r="AA43" s="1">
        <f t="shared" si="47"/>
        <v>130</v>
      </c>
      <c r="AB43" s="1"/>
      <c r="AC43">
        <f t="shared" si="15"/>
        <v>-130</v>
      </c>
      <c r="AD43" s="1"/>
      <c r="AE43" s="1">
        <f t="shared" si="32"/>
        <v>0</v>
      </c>
      <c r="AF43" s="1">
        <f t="shared" si="37"/>
        <v>0</v>
      </c>
      <c r="AG43" s="1">
        <f t="shared" si="38"/>
        <v>-130</v>
      </c>
      <c r="AI43">
        <f t="shared" si="39"/>
        <v>0</v>
      </c>
      <c r="AJ43">
        <f t="shared" si="40"/>
        <v>0</v>
      </c>
      <c r="AK43">
        <f t="shared" si="41"/>
        <v>0</v>
      </c>
      <c r="AL43">
        <f t="shared" si="42"/>
        <v>0</v>
      </c>
      <c r="AN43">
        <f t="shared" si="43"/>
        <v>0</v>
      </c>
      <c r="AO43">
        <f t="shared" si="44"/>
        <v>0</v>
      </c>
      <c r="AP43">
        <f t="shared" si="45"/>
        <v>0</v>
      </c>
      <c r="AQ43">
        <f t="shared" si="46"/>
        <v>0</v>
      </c>
    </row>
    <row r="44" spans="1:44" ht="14.45" x14ac:dyDescent="0.3">
      <c r="B44" s="8" t="s">
        <v>52</v>
      </c>
      <c r="C44" t="s">
        <v>51</v>
      </c>
      <c r="D44" s="16" t="s">
        <v>31</v>
      </c>
      <c r="E44">
        <f t="shared" si="12"/>
        <v>0</v>
      </c>
      <c r="F44">
        <f t="shared" si="28"/>
        <v>1</v>
      </c>
      <c r="G44" t="s">
        <v>239</v>
      </c>
      <c r="H44" s="16">
        <v>7</v>
      </c>
      <c r="I44" s="16"/>
      <c r="J44" s="16" t="s">
        <v>36</v>
      </c>
      <c r="K44" t="s">
        <v>58</v>
      </c>
      <c r="L44" s="5">
        <v>0</v>
      </c>
      <c r="M44" s="4" t="s">
        <v>37</v>
      </c>
      <c r="O44" s="50">
        <f>1600+125+67.28</f>
        <v>1792.28</v>
      </c>
      <c r="P44" s="1">
        <f>O44*0.4</f>
        <v>716.91200000000003</v>
      </c>
      <c r="Q44">
        <f>(O44+500)-P44</f>
        <v>1575.3679999999997</v>
      </c>
      <c r="R44" s="57" t="s">
        <v>44</v>
      </c>
      <c r="S44" s="72">
        <v>2</v>
      </c>
      <c r="T44" s="72">
        <f t="shared" si="29"/>
        <v>89.39891999999999</v>
      </c>
      <c r="U44" s="7" t="str">
        <f t="shared" si="30"/>
        <v>PAYPAL</v>
      </c>
      <c r="V44" s="68">
        <v>2</v>
      </c>
      <c r="W44" s="5" t="s">
        <v>264</v>
      </c>
      <c r="X44" s="1">
        <f t="shared" si="22"/>
        <v>2292.2799999999997</v>
      </c>
      <c r="Y44" s="1"/>
      <c r="Z44" s="1">
        <f t="shared" si="31"/>
        <v>0</v>
      </c>
      <c r="AA44" s="1">
        <f t="shared" si="47"/>
        <v>130</v>
      </c>
      <c r="AB44" s="1"/>
      <c r="AC44">
        <f>O44-AA44</f>
        <v>1662.28</v>
      </c>
      <c r="AD44" s="1"/>
      <c r="AE44" s="1">
        <f t="shared" si="32"/>
        <v>30</v>
      </c>
      <c r="AF44" s="1">
        <f t="shared" si="37"/>
        <v>1632.28</v>
      </c>
      <c r="AG44" s="1">
        <f t="shared" si="38"/>
        <v>1632.28</v>
      </c>
      <c r="AI44">
        <f t="shared" si="39"/>
        <v>0</v>
      </c>
      <c r="AJ44">
        <f t="shared" si="40"/>
        <v>1792.28</v>
      </c>
      <c r="AK44">
        <f t="shared" si="41"/>
        <v>0</v>
      </c>
      <c r="AL44">
        <f t="shared" si="42"/>
        <v>0</v>
      </c>
      <c r="AN44">
        <f t="shared" si="43"/>
        <v>0</v>
      </c>
      <c r="AO44">
        <f t="shared" si="44"/>
        <v>1792.28</v>
      </c>
      <c r="AP44">
        <f t="shared" si="45"/>
        <v>0</v>
      </c>
      <c r="AQ44">
        <f t="shared" si="46"/>
        <v>0</v>
      </c>
    </row>
    <row r="45" spans="1:44" ht="16.149999999999999" x14ac:dyDescent="0.3">
      <c r="B45" s="17" t="s">
        <v>100</v>
      </c>
      <c r="C45" t="s">
        <v>98</v>
      </c>
      <c r="D45" s="16" t="s">
        <v>90</v>
      </c>
      <c r="E45">
        <f t="shared" si="12"/>
        <v>0</v>
      </c>
      <c r="F45">
        <f t="shared" si="28"/>
        <v>1</v>
      </c>
      <c r="G45" t="s">
        <v>240</v>
      </c>
      <c r="H45" s="16">
        <v>7</v>
      </c>
      <c r="I45" s="16"/>
      <c r="J45" s="16" t="s">
        <v>99</v>
      </c>
      <c r="K45" t="s">
        <v>56</v>
      </c>
      <c r="L45" s="5">
        <v>0</v>
      </c>
      <c r="M45" s="15" t="s">
        <v>108</v>
      </c>
      <c r="O45" s="51">
        <v>1847</v>
      </c>
      <c r="P45">
        <f>(O45+500)*0.4</f>
        <v>938.80000000000007</v>
      </c>
      <c r="Q45">
        <f>(O45+500)-P45</f>
        <v>1408.1999999999998</v>
      </c>
      <c r="R45" s="58" t="s">
        <v>107</v>
      </c>
      <c r="S45" s="72">
        <v>2</v>
      </c>
      <c r="T45" s="72">
        <f t="shared" si="29"/>
        <v>91.533000000000001</v>
      </c>
      <c r="U45" s="7" t="str">
        <f t="shared" si="30"/>
        <v>PAYPAL</v>
      </c>
      <c r="V45" s="68">
        <v>2</v>
      </c>
      <c r="W45" s="90" t="s">
        <v>283</v>
      </c>
      <c r="X45" s="1">
        <f t="shared" si="22"/>
        <v>2347</v>
      </c>
      <c r="Y45" s="1"/>
      <c r="Z45" s="1">
        <f t="shared" si="31"/>
        <v>0</v>
      </c>
      <c r="AA45" s="1">
        <f t="shared" si="47"/>
        <v>130</v>
      </c>
      <c r="AB45" s="1"/>
      <c r="AC45">
        <f t="shared" si="15"/>
        <v>1717</v>
      </c>
      <c r="AE45" s="1">
        <f t="shared" si="32"/>
        <v>30</v>
      </c>
      <c r="AF45" s="1">
        <f t="shared" si="37"/>
        <v>1687</v>
      </c>
      <c r="AG45" s="1">
        <f t="shared" si="38"/>
        <v>1687</v>
      </c>
      <c r="AI45">
        <f t="shared" si="39"/>
        <v>0</v>
      </c>
      <c r="AJ45">
        <f t="shared" si="40"/>
        <v>1847</v>
      </c>
      <c r="AK45">
        <f t="shared" si="41"/>
        <v>0</v>
      </c>
      <c r="AL45">
        <f t="shared" si="42"/>
        <v>0</v>
      </c>
      <c r="AN45">
        <f t="shared" si="43"/>
        <v>0</v>
      </c>
      <c r="AO45">
        <f t="shared" si="44"/>
        <v>1847</v>
      </c>
      <c r="AP45">
        <f t="shared" si="45"/>
        <v>0</v>
      </c>
      <c r="AQ45">
        <f t="shared" si="46"/>
        <v>0</v>
      </c>
    </row>
    <row r="46" spans="1:44" ht="16.149999999999999" x14ac:dyDescent="0.3">
      <c r="B46" t="s">
        <v>161</v>
      </c>
      <c r="C46" t="s">
        <v>162</v>
      </c>
      <c r="D46" s="16" t="s">
        <v>31</v>
      </c>
      <c r="E46">
        <f t="shared" si="12"/>
        <v>0</v>
      </c>
      <c r="F46">
        <f t="shared" si="28"/>
        <v>1</v>
      </c>
      <c r="G46" t="s">
        <v>241</v>
      </c>
      <c r="H46" s="16">
        <v>20</v>
      </c>
      <c r="I46" s="16"/>
      <c r="J46" t="s">
        <v>261</v>
      </c>
      <c r="K46" t="s">
        <v>56</v>
      </c>
      <c r="L46" s="5">
        <v>0</v>
      </c>
      <c r="M46" s="15" t="s">
        <v>232</v>
      </c>
      <c r="O46" s="50">
        <f>3897+47</f>
        <v>3944</v>
      </c>
      <c r="P46">
        <v>1778</v>
      </c>
      <c r="Q46">
        <f>IF(O46&gt;0,((O46+500)-P46),0)</f>
        <v>2666</v>
      </c>
      <c r="R46" s="6" t="s">
        <v>168</v>
      </c>
      <c r="S46" s="72">
        <v>2</v>
      </c>
      <c r="T46" s="72">
        <f t="shared" si="29"/>
        <v>47</v>
      </c>
      <c r="U46" s="7" t="str">
        <f t="shared" si="30"/>
        <v>BANK</v>
      </c>
      <c r="V46" s="68">
        <v>1</v>
      </c>
      <c r="W46" s="90" t="s">
        <v>166</v>
      </c>
      <c r="X46" s="1">
        <f t="shared" si="22"/>
        <v>4444</v>
      </c>
      <c r="Y46" s="1"/>
      <c r="Z46" s="1">
        <f t="shared" si="31"/>
        <v>0</v>
      </c>
      <c r="AA46" s="1">
        <f t="shared" si="47"/>
        <v>130</v>
      </c>
      <c r="AB46" s="1"/>
      <c r="AC46">
        <f t="shared" si="15"/>
        <v>3814</v>
      </c>
      <c r="AD46" s="1"/>
      <c r="AE46" s="1">
        <f t="shared" si="32"/>
        <v>30</v>
      </c>
      <c r="AF46" s="1">
        <f t="shared" si="37"/>
        <v>3784</v>
      </c>
      <c r="AG46" s="1">
        <f t="shared" si="38"/>
        <v>3784</v>
      </c>
      <c r="AI46">
        <f t="shared" si="39"/>
        <v>0</v>
      </c>
      <c r="AJ46">
        <f t="shared" si="40"/>
        <v>3944</v>
      </c>
      <c r="AK46">
        <f t="shared" si="41"/>
        <v>0</v>
      </c>
      <c r="AL46">
        <f t="shared" si="42"/>
        <v>0</v>
      </c>
      <c r="AN46">
        <f t="shared" si="43"/>
        <v>0</v>
      </c>
      <c r="AO46">
        <f t="shared" si="44"/>
        <v>3944</v>
      </c>
      <c r="AP46">
        <f t="shared" si="45"/>
        <v>0</v>
      </c>
      <c r="AQ46">
        <f t="shared" si="46"/>
        <v>0</v>
      </c>
    </row>
    <row r="47" spans="1:44" ht="14.45" x14ac:dyDescent="0.3">
      <c r="B47" s="16"/>
      <c r="C47" s="8"/>
      <c r="D47" s="16"/>
      <c r="E47">
        <f>IF(D47=$B$12,H47,0)</f>
        <v>0</v>
      </c>
      <c r="F47">
        <f>IF(E47&gt;0,0,1)</f>
        <v>1</v>
      </c>
      <c r="G47" s="16"/>
      <c r="H47" s="16">
        <v>0</v>
      </c>
      <c r="I47" s="16"/>
      <c r="J47" s="16"/>
      <c r="M47" s="4"/>
      <c r="O47" s="50">
        <v>0</v>
      </c>
      <c r="P47" s="58">
        <f>ROUND((O47*0.4),0)</f>
        <v>0</v>
      </c>
      <c r="Q47" s="84">
        <f>IF(O47&gt;0,((O47+500)-P47)+T47,0)</f>
        <v>0</v>
      </c>
      <c r="R47" s="57"/>
      <c r="S47" s="72">
        <v>2</v>
      </c>
      <c r="T47" s="89">
        <f>IF(U47=$AD$2,47,IF(U47=$AD$1,ROUND(((O47+500)*0.039),0),IF(U47=$AD$3,0)))</f>
        <v>0</v>
      </c>
      <c r="U47" s="87" t="str">
        <f t="shared" si="30"/>
        <v>NONE</v>
      </c>
      <c r="V47" s="97"/>
      <c r="W47" s="90"/>
      <c r="X47" s="89">
        <f>Q47+P47</f>
        <v>0</v>
      </c>
      <c r="Y47" s="72"/>
      <c r="Z47" s="1">
        <f t="shared" si="31"/>
        <v>0</v>
      </c>
      <c r="AA47" s="1">
        <f t="shared" si="47"/>
        <v>0</v>
      </c>
      <c r="AB47" s="1"/>
      <c r="AC47" s="76">
        <f>(O47+T47)-AA47</f>
        <v>0</v>
      </c>
      <c r="AD47" s="1"/>
      <c r="AE47" s="1">
        <f>IF(H47&gt;0,30*F47,0)</f>
        <v>0</v>
      </c>
      <c r="AF47" s="1">
        <f t="shared" si="37"/>
        <v>0</v>
      </c>
      <c r="AG47" s="1">
        <f t="shared" si="38"/>
        <v>0</v>
      </c>
      <c r="AI47">
        <f t="shared" si="39"/>
        <v>0</v>
      </c>
      <c r="AJ47">
        <f t="shared" si="40"/>
        <v>0</v>
      </c>
      <c r="AK47">
        <f t="shared" si="41"/>
        <v>0</v>
      </c>
      <c r="AL47">
        <f t="shared" si="42"/>
        <v>0</v>
      </c>
      <c r="AN47">
        <f t="shared" si="43"/>
        <v>0</v>
      </c>
      <c r="AO47">
        <f t="shared" si="44"/>
        <v>0</v>
      </c>
      <c r="AP47">
        <f t="shared" si="45"/>
        <v>0</v>
      </c>
      <c r="AQ47">
        <f t="shared" si="46"/>
        <v>0</v>
      </c>
    </row>
    <row r="48" spans="1:44" ht="14.45" x14ac:dyDescent="0.3">
      <c r="B48" t="s">
        <v>260</v>
      </c>
      <c r="C48" t="s">
        <v>66</v>
      </c>
      <c r="D48" s="16" t="s">
        <v>31</v>
      </c>
      <c r="E48">
        <f t="shared" si="12"/>
        <v>0</v>
      </c>
      <c r="F48">
        <f t="shared" si="28"/>
        <v>1</v>
      </c>
      <c r="G48" t="s">
        <v>242</v>
      </c>
      <c r="H48" s="16">
        <v>12</v>
      </c>
      <c r="I48" s="16"/>
      <c r="J48" s="16" t="s">
        <v>36</v>
      </c>
      <c r="K48" t="s">
        <v>56</v>
      </c>
      <c r="L48" s="5">
        <v>0</v>
      </c>
      <c r="M48" s="4" t="s">
        <v>37</v>
      </c>
      <c r="O48" s="50">
        <f>2832-500</f>
        <v>2332</v>
      </c>
      <c r="P48" s="1">
        <v>933</v>
      </c>
      <c r="Q48">
        <f>(O48+500)-P48</f>
        <v>1899</v>
      </c>
      <c r="R48" s="57" t="s">
        <v>67</v>
      </c>
      <c r="S48" s="72">
        <v>2</v>
      </c>
      <c r="T48" s="72">
        <f t="shared" si="29"/>
        <v>110.44799999999999</v>
      </c>
      <c r="U48" s="7" t="str">
        <f t="shared" si="30"/>
        <v>PAYPAL</v>
      </c>
      <c r="V48" s="68">
        <v>2</v>
      </c>
      <c r="W48" s="5" t="s">
        <v>264</v>
      </c>
      <c r="X48" s="1">
        <f t="shared" si="22"/>
        <v>2832</v>
      </c>
      <c r="Y48" s="1"/>
      <c r="Z48" s="1">
        <f t="shared" si="31"/>
        <v>0</v>
      </c>
      <c r="AA48" s="1">
        <f t="shared" si="47"/>
        <v>130</v>
      </c>
      <c r="AB48" s="1"/>
      <c r="AC48">
        <f t="shared" si="15"/>
        <v>2202</v>
      </c>
      <c r="AD48" s="1"/>
      <c r="AE48" s="1">
        <f t="shared" si="32"/>
        <v>30</v>
      </c>
      <c r="AF48" s="1">
        <f t="shared" si="37"/>
        <v>2172</v>
      </c>
      <c r="AG48" s="1">
        <f t="shared" si="38"/>
        <v>2172</v>
      </c>
      <c r="AI48">
        <f t="shared" si="39"/>
        <v>0</v>
      </c>
      <c r="AJ48">
        <f t="shared" si="40"/>
        <v>2332</v>
      </c>
      <c r="AK48">
        <f t="shared" si="41"/>
        <v>0</v>
      </c>
      <c r="AL48">
        <f t="shared" si="42"/>
        <v>0</v>
      </c>
      <c r="AN48">
        <f t="shared" si="43"/>
        <v>0</v>
      </c>
      <c r="AO48">
        <f t="shared" si="44"/>
        <v>2332</v>
      </c>
      <c r="AP48">
        <f t="shared" si="45"/>
        <v>0</v>
      </c>
      <c r="AQ48">
        <f t="shared" si="46"/>
        <v>0</v>
      </c>
    </row>
    <row r="49" spans="2:43" ht="14.45" x14ac:dyDescent="0.3">
      <c r="B49" t="s">
        <v>208</v>
      </c>
      <c r="C49" t="s">
        <v>209</v>
      </c>
      <c r="D49" s="16" t="s">
        <v>31</v>
      </c>
      <c r="E49">
        <f t="shared" si="12"/>
        <v>0</v>
      </c>
      <c r="F49">
        <f t="shared" si="28"/>
        <v>1</v>
      </c>
      <c r="G49" t="s">
        <v>210</v>
      </c>
      <c r="H49" s="16">
        <v>7</v>
      </c>
      <c r="I49" s="16"/>
      <c r="J49" s="16" t="s">
        <v>211</v>
      </c>
      <c r="K49" t="s">
        <v>56</v>
      </c>
      <c r="L49" s="5">
        <v>0</v>
      </c>
      <c r="M49" s="4" t="s">
        <v>37</v>
      </c>
      <c r="O49" s="50">
        <v>1317</v>
      </c>
      <c r="P49" s="1">
        <f>ROUND((O49*0.4),0)</f>
        <v>527</v>
      </c>
      <c r="Q49">
        <f>IF(O49&gt;0,((O49+500)-P49),0)</f>
        <v>1290</v>
      </c>
      <c r="R49" s="43" t="s">
        <v>212</v>
      </c>
      <c r="S49" s="72">
        <v>2</v>
      </c>
      <c r="T49" s="72">
        <f t="shared" si="29"/>
        <v>70.863</v>
      </c>
      <c r="U49" s="7" t="str">
        <f t="shared" si="30"/>
        <v>PAYPAL</v>
      </c>
      <c r="V49" s="68">
        <v>2</v>
      </c>
      <c r="W49" s="60" t="s">
        <v>264</v>
      </c>
      <c r="X49" s="1">
        <f>Q49+P49</f>
        <v>1817</v>
      </c>
      <c r="Y49" s="1"/>
      <c r="Z49" s="1">
        <f t="shared" si="31"/>
        <v>0</v>
      </c>
      <c r="AA49" s="1">
        <f t="shared" si="47"/>
        <v>130</v>
      </c>
      <c r="AB49" s="1"/>
      <c r="AC49">
        <f t="shared" si="15"/>
        <v>1187</v>
      </c>
      <c r="AD49" s="1"/>
      <c r="AE49" s="1">
        <f>IF(H49&gt;0,30*F49,0)</f>
        <v>30</v>
      </c>
      <c r="AF49" s="1">
        <f t="shared" si="37"/>
        <v>1157</v>
      </c>
      <c r="AG49" s="1">
        <f t="shared" si="38"/>
        <v>1157</v>
      </c>
      <c r="AI49">
        <f t="shared" si="39"/>
        <v>0</v>
      </c>
      <c r="AJ49">
        <f t="shared" si="40"/>
        <v>1317</v>
      </c>
      <c r="AK49">
        <f t="shared" si="41"/>
        <v>0</v>
      </c>
      <c r="AL49">
        <f t="shared" si="42"/>
        <v>0</v>
      </c>
      <c r="AN49">
        <f t="shared" si="43"/>
        <v>0</v>
      </c>
      <c r="AO49">
        <f t="shared" si="44"/>
        <v>1317</v>
      </c>
      <c r="AP49">
        <f t="shared" si="45"/>
        <v>0</v>
      </c>
      <c r="AQ49">
        <f t="shared" si="46"/>
        <v>0</v>
      </c>
    </row>
    <row r="50" spans="2:43" ht="14.45" x14ac:dyDescent="0.3">
      <c r="B50" s="8" t="s">
        <v>173</v>
      </c>
      <c r="C50" t="s">
        <v>172</v>
      </c>
      <c r="D50" s="16" t="s">
        <v>31</v>
      </c>
      <c r="E50">
        <f>IF(D50=$B$12,H50,0)</f>
        <v>0</v>
      </c>
      <c r="F50">
        <f>IF(E50&gt;0,0,1)</f>
        <v>1</v>
      </c>
      <c r="G50" s="16" t="s">
        <v>169</v>
      </c>
      <c r="H50" s="16">
        <v>14</v>
      </c>
      <c r="I50" s="16"/>
      <c r="J50" s="16" t="s">
        <v>170</v>
      </c>
      <c r="K50" t="s">
        <v>56</v>
      </c>
      <c r="L50" s="5">
        <v>0</v>
      </c>
      <c r="M50" s="4" t="s">
        <v>37</v>
      </c>
      <c r="O50" s="50">
        <f>3015-500</f>
        <v>2515</v>
      </c>
      <c r="P50" s="1">
        <f>ROUND((O50*0.4),0)</f>
        <v>1006</v>
      </c>
      <c r="Q50">
        <f>IF(O50&gt;0,((O50+500)-P50),0)</f>
        <v>2009</v>
      </c>
      <c r="R50" s="57" t="s">
        <v>171</v>
      </c>
      <c r="S50" s="72">
        <v>2</v>
      </c>
      <c r="T50" s="72">
        <f t="shared" si="29"/>
        <v>117.58499999999999</v>
      </c>
      <c r="U50" s="7" t="str">
        <f t="shared" si="30"/>
        <v>PAYPAL</v>
      </c>
      <c r="V50" s="68">
        <v>2</v>
      </c>
      <c r="W50" s="5" t="s">
        <v>26</v>
      </c>
      <c r="X50" s="1">
        <f t="shared" si="22"/>
        <v>3015</v>
      </c>
      <c r="Y50" s="1"/>
      <c r="Z50" s="1">
        <f t="shared" si="31"/>
        <v>0</v>
      </c>
      <c r="AA50" s="1">
        <f t="shared" si="47"/>
        <v>130</v>
      </c>
      <c r="AB50" s="1"/>
      <c r="AC50">
        <f t="shared" si="15"/>
        <v>2385</v>
      </c>
      <c r="AD50" s="1"/>
      <c r="AE50" s="1">
        <f>IF(H50&gt;0,30*F50,0)</f>
        <v>30</v>
      </c>
      <c r="AF50" s="1">
        <f t="shared" si="37"/>
        <v>2355</v>
      </c>
      <c r="AG50" s="1">
        <f t="shared" si="38"/>
        <v>2355</v>
      </c>
      <c r="AI50">
        <f t="shared" si="39"/>
        <v>0</v>
      </c>
      <c r="AJ50">
        <f t="shared" si="40"/>
        <v>2515</v>
      </c>
      <c r="AK50">
        <f t="shared" si="41"/>
        <v>0</v>
      </c>
      <c r="AL50">
        <f t="shared" si="42"/>
        <v>0</v>
      </c>
      <c r="AN50">
        <f t="shared" si="43"/>
        <v>0</v>
      </c>
      <c r="AO50">
        <f t="shared" si="44"/>
        <v>2515</v>
      </c>
      <c r="AP50">
        <f t="shared" si="45"/>
        <v>0</v>
      </c>
      <c r="AQ50">
        <f t="shared" si="46"/>
        <v>0</v>
      </c>
    </row>
    <row r="51" spans="2:43" ht="14.45" x14ac:dyDescent="0.3">
      <c r="B51" s="17" t="s">
        <v>116</v>
      </c>
      <c r="C51" t="s">
        <v>115</v>
      </c>
      <c r="D51" t="s">
        <v>90</v>
      </c>
      <c r="E51">
        <f t="shared" si="12"/>
        <v>0</v>
      </c>
      <c r="F51">
        <f t="shared" si="28"/>
        <v>1</v>
      </c>
      <c r="G51" t="s">
        <v>243</v>
      </c>
      <c r="H51" s="16">
        <v>7</v>
      </c>
      <c r="I51" s="16"/>
      <c r="J51" s="16" t="s">
        <v>117</v>
      </c>
      <c r="K51" s="16" t="s">
        <v>56</v>
      </c>
      <c r="L51" s="5">
        <v>0</v>
      </c>
      <c r="M51" s="4" t="s">
        <v>37</v>
      </c>
      <c r="O51" s="50">
        <v>1775</v>
      </c>
      <c r="P51" s="1">
        <f>(1775+500)*0.4</f>
        <v>910</v>
      </c>
      <c r="Q51">
        <f>(O51+500)-P51</f>
        <v>1365</v>
      </c>
      <c r="R51" s="57" t="s">
        <v>118</v>
      </c>
      <c r="S51" s="89">
        <v>3</v>
      </c>
      <c r="T51" s="72">
        <f t="shared" si="29"/>
        <v>88.724999999999994</v>
      </c>
      <c r="U51" s="7" t="str">
        <f t="shared" si="30"/>
        <v>PAYPAL</v>
      </c>
      <c r="V51" s="68">
        <v>2</v>
      </c>
      <c r="W51" s="5" t="s">
        <v>26</v>
      </c>
      <c r="X51" s="1">
        <f t="shared" si="22"/>
        <v>2275</v>
      </c>
      <c r="Y51" s="1"/>
      <c r="Z51" s="1">
        <f t="shared" si="31"/>
        <v>0</v>
      </c>
      <c r="AA51" s="1">
        <f t="shared" si="47"/>
        <v>130</v>
      </c>
      <c r="AB51" s="1"/>
      <c r="AC51">
        <f>O51-AA51</f>
        <v>1645</v>
      </c>
      <c r="AD51" s="1"/>
      <c r="AE51" s="1">
        <f t="shared" si="32"/>
        <v>30</v>
      </c>
      <c r="AF51" s="1">
        <f t="shared" si="37"/>
        <v>1615</v>
      </c>
      <c r="AG51" s="1">
        <f t="shared" si="38"/>
        <v>1615</v>
      </c>
      <c r="AI51">
        <f t="shared" si="39"/>
        <v>0</v>
      </c>
      <c r="AJ51">
        <f t="shared" si="40"/>
        <v>0</v>
      </c>
      <c r="AK51">
        <f t="shared" si="41"/>
        <v>1775</v>
      </c>
      <c r="AL51">
        <f t="shared" si="42"/>
        <v>0</v>
      </c>
      <c r="AN51">
        <f t="shared" si="43"/>
        <v>0</v>
      </c>
      <c r="AO51">
        <f t="shared" si="44"/>
        <v>0</v>
      </c>
      <c r="AP51">
        <f t="shared" si="45"/>
        <v>1775</v>
      </c>
      <c r="AQ51">
        <f t="shared" si="46"/>
        <v>0</v>
      </c>
    </row>
    <row r="52" spans="2:43" ht="14.45" x14ac:dyDescent="0.3">
      <c r="D52" s="84"/>
      <c r="E52" s="84">
        <f>IF(D52=$B$12,H52,0)</f>
        <v>0</v>
      </c>
      <c r="F52" s="84">
        <f>IF(E52&gt;0,0,1)</f>
        <v>1</v>
      </c>
      <c r="G52" s="84"/>
      <c r="H52" s="85"/>
      <c r="I52" s="85"/>
      <c r="J52" s="85"/>
      <c r="K52" s="85"/>
      <c r="L52" s="90"/>
      <c r="M52" s="4"/>
      <c r="N52" s="84"/>
      <c r="O52" s="50"/>
      <c r="P52" s="58">
        <f>ROUND((O52*0.4),0)</f>
        <v>0</v>
      </c>
      <c r="Q52" s="84">
        <f>IF(O52&gt;0,((O52+500)-P52)+T52,0)</f>
        <v>0</v>
      </c>
      <c r="R52" s="57"/>
      <c r="S52" s="89">
        <v>3</v>
      </c>
      <c r="T52" s="89">
        <f>IF(U52=$AD$2,47,IF(U52=$AD$1,ROUND(((O52+500)*0.039),0),IF(U52=$AD$3,0)))</f>
        <v>0</v>
      </c>
      <c r="U52" s="87" t="str">
        <f>IF(V52=1,$AD$2,IF(V52=2,$AD$1,IF(AND(V52&lt;&gt;1,V52&lt;&gt;20)=TRUE,$AD$3)))</f>
        <v>NONE</v>
      </c>
      <c r="V52" s="97"/>
      <c r="W52" s="90"/>
      <c r="X52" s="89">
        <f>Q52+P52</f>
        <v>0</v>
      </c>
      <c r="Y52" s="89"/>
      <c r="Z52" s="58">
        <f>IF(W52=$Z$1,Q52-500,0)</f>
        <v>0</v>
      </c>
      <c r="AA52" s="58">
        <f t="shared" si="47"/>
        <v>0</v>
      </c>
      <c r="AB52" s="58"/>
      <c r="AC52" s="98">
        <f>(O52+T52)-AA52</f>
        <v>0</v>
      </c>
      <c r="AD52" s="58"/>
      <c r="AE52" s="58">
        <f t="shared" si="32"/>
        <v>0</v>
      </c>
      <c r="AF52" s="58">
        <f>IF(AG52&gt;0,AG37:AG52,0)</f>
        <v>0</v>
      </c>
      <c r="AG52" s="58">
        <f t="shared" si="38"/>
        <v>0</v>
      </c>
      <c r="AI52">
        <f t="shared" si="39"/>
        <v>0</v>
      </c>
      <c r="AJ52">
        <f t="shared" si="40"/>
        <v>0</v>
      </c>
      <c r="AK52">
        <f t="shared" si="41"/>
        <v>0</v>
      </c>
      <c r="AL52">
        <f t="shared" si="42"/>
        <v>0</v>
      </c>
      <c r="AN52">
        <f t="shared" si="43"/>
        <v>0</v>
      </c>
      <c r="AO52">
        <f t="shared" si="44"/>
        <v>0</v>
      </c>
      <c r="AP52">
        <f t="shared" si="45"/>
        <v>0</v>
      </c>
      <c r="AQ52">
        <f t="shared" si="46"/>
        <v>0</v>
      </c>
    </row>
    <row r="53" spans="2:43" ht="14.45" x14ac:dyDescent="0.3">
      <c r="B53" s="105" t="s">
        <v>85</v>
      </c>
      <c r="C53" s="86" t="s">
        <v>42</v>
      </c>
      <c r="D53" s="85" t="s">
        <v>43</v>
      </c>
      <c r="E53" s="84">
        <f t="shared" si="12"/>
        <v>9</v>
      </c>
      <c r="F53" s="84">
        <f t="shared" si="28"/>
        <v>0</v>
      </c>
      <c r="G53" s="84" t="s">
        <v>244</v>
      </c>
      <c r="H53" s="85">
        <v>9</v>
      </c>
      <c r="I53" s="85"/>
      <c r="J53" s="85" t="s">
        <v>94</v>
      </c>
      <c r="K53" s="84" t="s">
        <v>56</v>
      </c>
      <c r="L53" s="90">
        <v>3</v>
      </c>
      <c r="M53" s="96" t="s">
        <v>37</v>
      </c>
      <c r="N53" s="84"/>
      <c r="O53" s="50">
        <v>0</v>
      </c>
      <c r="P53" s="1"/>
      <c r="Q53">
        <f>IF(O53&gt;0,((O53+500)-P53),0)</f>
        <v>0</v>
      </c>
      <c r="S53" s="89">
        <v>3</v>
      </c>
      <c r="T53" s="72">
        <f t="shared" si="29"/>
        <v>0</v>
      </c>
      <c r="U53" s="7" t="str">
        <f t="shared" si="30"/>
        <v>NONE</v>
      </c>
      <c r="V53" s="68"/>
      <c r="W53" s="5"/>
      <c r="X53" s="1">
        <f t="shared" si="22"/>
        <v>0</v>
      </c>
      <c r="Y53" s="1"/>
      <c r="Z53" s="1">
        <f t="shared" si="31"/>
        <v>0</v>
      </c>
      <c r="AA53" s="1">
        <f t="shared" si="47"/>
        <v>130</v>
      </c>
      <c r="AB53" s="1"/>
      <c r="AC53">
        <f>O53-AA53</f>
        <v>-130</v>
      </c>
      <c r="AD53" s="1"/>
      <c r="AE53" s="1">
        <f t="shared" si="32"/>
        <v>0</v>
      </c>
      <c r="AF53" s="1">
        <f t="shared" si="37"/>
        <v>0</v>
      </c>
      <c r="AG53" s="1">
        <f t="shared" si="38"/>
        <v>-130</v>
      </c>
      <c r="AI53">
        <f t="shared" si="39"/>
        <v>0</v>
      </c>
      <c r="AJ53">
        <f t="shared" si="40"/>
        <v>0</v>
      </c>
      <c r="AK53">
        <f t="shared" si="41"/>
        <v>0</v>
      </c>
      <c r="AL53">
        <f t="shared" si="42"/>
        <v>0</v>
      </c>
      <c r="AN53">
        <f t="shared" si="43"/>
        <v>0</v>
      </c>
      <c r="AO53">
        <f t="shared" si="44"/>
        <v>0</v>
      </c>
      <c r="AP53">
        <f t="shared" si="45"/>
        <v>0</v>
      </c>
      <c r="AQ53">
        <f t="shared" si="46"/>
        <v>0</v>
      </c>
    </row>
    <row r="54" spans="2:43" ht="14.45" x14ac:dyDescent="0.3">
      <c r="B54" s="16" t="s">
        <v>138</v>
      </c>
      <c r="C54" t="s">
        <v>137</v>
      </c>
      <c r="D54" s="16" t="s">
        <v>31</v>
      </c>
      <c r="E54">
        <f t="shared" ref="E54:E59" si="52">IF(D54=$B$12,H54,0)</f>
        <v>0</v>
      </c>
      <c r="F54">
        <f t="shared" ref="F54:F59" si="53">IF(E54&gt;0,0,1)</f>
        <v>1</v>
      </c>
      <c r="G54" s="108" t="s">
        <v>245</v>
      </c>
      <c r="H54" s="16">
        <v>7</v>
      </c>
      <c r="I54" s="16"/>
      <c r="J54" s="16" t="s">
        <v>41</v>
      </c>
      <c r="K54" t="s">
        <v>56</v>
      </c>
      <c r="L54" s="5">
        <v>3</v>
      </c>
      <c r="M54" s="4" t="s">
        <v>37</v>
      </c>
      <c r="O54" s="50">
        <f>1914-500</f>
        <v>1414</v>
      </c>
      <c r="P54" s="1">
        <f>ROUND(O54*0.4,0)</f>
        <v>566</v>
      </c>
      <c r="Q54">
        <f>IF(O54&gt;0,((O54+500)-P54),0)</f>
        <v>1348</v>
      </c>
      <c r="R54" s="57" t="s">
        <v>136</v>
      </c>
      <c r="S54" s="89">
        <v>3</v>
      </c>
      <c r="T54" s="72">
        <f t="shared" si="29"/>
        <v>0</v>
      </c>
      <c r="U54" s="7" t="str">
        <f t="shared" si="30"/>
        <v>NONE</v>
      </c>
      <c r="V54" s="68"/>
      <c r="W54" s="5" t="s">
        <v>334</v>
      </c>
      <c r="X54" s="1">
        <f>Q54+P54</f>
        <v>1914</v>
      </c>
      <c r="Y54" s="1"/>
      <c r="Z54" s="1">
        <f t="shared" si="31"/>
        <v>0</v>
      </c>
      <c r="AA54" s="1">
        <f t="shared" si="47"/>
        <v>130</v>
      </c>
      <c r="AB54" s="1"/>
      <c r="AC54">
        <f>O54-AA54</f>
        <v>1284</v>
      </c>
      <c r="AD54" s="1"/>
      <c r="AE54" s="1">
        <f t="shared" ref="AE54:AE59" si="54">IF(H54&gt;0,30*F54,0)</f>
        <v>30</v>
      </c>
      <c r="AF54" s="1">
        <f t="shared" si="37"/>
        <v>1254</v>
      </c>
      <c r="AG54" s="1">
        <f t="shared" si="38"/>
        <v>1254</v>
      </c>
      <c r="AI54">
        <f t="shared" si="39"/>
        <v>0</v>
      </c>
      <c r="AJ54">
        <f t="shared" si="40"/>
        <v>0</v>
      </c>
      <c r="AK54">
        <f t="shared" si="41"/>
        <v>1414</v>
      </c>
      <c r="AL54">
        <f t="shared" si="42"/>
        <v>0</v>
      </c>
      <c r="AN54">
        <f t="shared" si="43"/>
        <v>0</v>
      </c>
      <c r="AO54">
        <f t="shared" si="44"/>
        <v>0</v>
      </c>
      <c r="AP54">
        <f t="shared" si="45"/>
        <v>1414</v>
      </c>
      <c r="AQ54">
        <f t="shared" si="46"/>
        <v>0</v>
      </c>
    </row>
    <row r="55" spans="2:43" s="84" customFormat="1" ht="14.45" x14ac:dyDescent="0.3">
      <c r="B55" s="90" t="s">
        <v>337</v>
      </c>
      <c r="C55" s="84" t="s">
        <v>265</v>
      </c>
      <c r="D55" s="84" t="s">
        <v>31</v>
      </c>
      <c r="E55" s="84">
        <f t="shared" si="52"/>
        <v>0</v>
      </c>
      <c r="F55" s="84">
        <f t="shared" si="53"/>
        <v>1</v>
      </c>
      <c r="G55" s="84" t="s">
        <v>266</v>
      </c>
      <c r="H55" s="85">
        <v>7</v>
      </c>
      <c r="I55" s="85"/>
      <c r="J55" s="84" t="s">
        <v>99</v>
      </c>
      <c r="K55" s="84" t="s">
        <v>267</v>
      </c>
      <c r="L55" s="90">
        <v>0</v>
      </c>
      <c r="M55" s="96" t="s">
        <v>37</v>
      </c>
      <c r="O55" s="107">
        <v>1474</v>
      </c>
      <c r="P55" s="58">
        <f>ROUND((O55*0.4),0)</f>
        <v>590</v>
      </c>
      <c r="Q55" s="84">
        <f>IF(O55&gt;0,((O55+500)-P55)+T55,0)</f>
        <v>1384</v>
      </c>
      <c r="R55" s="57" t="s">
        <v>268</v>
      </c>
      <c r="S55" s="89">
        <v>3</v>
      </c>
      <c r="T55" s="89">
        <f>IF(U55=$AD$2,47,IF(U55=$AD$1,ROUND(((O55+500)*0.039),0),IF(U55=$AD$3,0)))</f>
        <v>0</v>
      </c>
      <c r="U55" s="87" t="str">
        <f t="shared" si="30"/>
        <v>NONE</v>
      </c>
      <c r="V55" s="97"/>
      <c r="W55" s="114" t="s">
        <v>329</v>
      </c>
      <c r="X55" s="89">
        <f>Q55+P55</f>
        <v>1974</v>
      </c>
      <c r="Y55" s="89"/>
      <c r="Z55" s="58">
        <f t="shared" si="31"/>
        <v>0</v>
      </c>
      <c r="AA55" s="58">
        <f t="shared" si="47"/>
        <v>130</v>
      </c>
      <c r="AB55" s="58"/>
      <c r="AC55" s="98">
        <f>(O55+T55)-AA55</f>
        <v>1344</v>
      </c>
      <c r="AD55" s="58"/>
      <c r="AE55" s="58">
        <f t="shared" si="54"/>
        <v>30</v>
      </c>
      <c r="AF55" s="58">
        <f>IF(AG55&gt;0,AG38:AG55,0)</f>
        <v>1314</v>
      </c>
      <c r="AG55" s="58">
        <f t="shared" si="38"/>
        <v>1314</v>
      </c>
      <c r="AI55">
        <f t="shared" si="39"/>
        <v>0</v>
      </c>
      <c r="AJ55">
        <f t="shared" si="40"/>
        <v>0</v>
      </c>
      <c r="AK55">
        <f t="shared" si="41"/>
        <v>1474</v>
      </c>
      <c r="AL55">
        <f t="shared" si="42"/>
        <v>0</v>
      </c>
      <c r="AM55"/>
      <c r="AN55">
        <f t="shared" si="43"/>
        <v>0</v>
      </c>
      <c r="AO55">
        <f t="shared" si="44"/>
        <v>0</v>
      </c>
      <c r="AP55">
        <f t="shared" si="45"/>
        <v>1474</v>
      </c>
      <c r="AQ55">
        <f t="shared" si="46"/>
        <v>0</v>
      </c>
    </row>
    <row r="56" spans="2:43" ht="14.45" x14ac:dyDescent="0.3">
      <c r="B56" t="s">
        <v>204</v>
      </c>
      <c r="C56" t="s">
        <v>203</v>
      </c>
      <c r="D56" s="16" t="s">
        <v>31</v>
      </c>
      <c r="E56">
        <f t="shared" si="52"/>
        <v>0</v>
      </c>
      <c r="F56">
        <f t="shared" si="53"/>
        <v>1</v>
      </c>
      <c r="G56" s="84" t="s">
        <v>246</v>
      </c>
      <c r="H56" s="16">
        <v>14</v>
      </c>
      <c r="I56" s="16"/>
      <c r="J56" s="16" t="s">
        <v>205</v>
      </c>
      <c r="K56" t="s">
        <v>56</v>
      </c>
      <c r="L56" s="5">
        <v>3</v>
      </c>
      <c r="M56" s="4" t="s">
        <v>37</v>
      </c>
      <c r="O56" s="51">
        <v>3020</v>
      </c>
      <c r="P56" s="1">
        <f>ROUND((O56*0.4),0)</f>
        <v>1208</v>
      </c>
      <c r="Q56">
        <f>IF(O56&gt;0,((O56+500)-P56),0)</f>
        <v>2312</v>
      </c>
      <c r="R56" s="57" t="s">
        <v>207</v>
      </c>
      <c r="S56" s="89">
        <v>3</v>
      </c>
      <c r="T56" s="72">
        <f t="shared" si="29"/>
        <v>137.28</v>
      </c>
      <c r="U56" s="7" t="str">
        <f t="shared" si="30"/>
        <v>PAYPAL</v>
      </c>
      <c r="V56" s="68">
        <v>2</v>
      </c>
      <c r="W56" s="90" t="s">
        <v>328</v>
      </c>
      <c r="X56" s="1">
        <f>Q56+P56</f>
        <v>3520</v>
      </c>
      <c r="Y56" s="1"/>
      <c r="Z56" s="1">
        <f t="shared" si="31"/>
        <v>0</v>
      </c>
      <c r="AA56" s="1">
        <f t="shared" si="47"/>
        <v>130</v>
      </c>
      <c r="AB56" s="1"/>
      <c r="AC56">
        <f>O56-AA56</f>
        <v>2890</v>
      </c>
      <c r="AD56" s="1"/>
      <c r="AE56" s="1">
        <f t="shared" si="54"/>
        <v>30</v>
      </c>
      <c r="AF56" s="1">
        <f t="shared" si="37"/>
        <v>2860</v>
      </c>
      <c r="AG56" s="1">
        <f t="shared" si="38"/>
        <v>2860</v>
      </c>
      <c r="AI56">
        <f t="shared" si="39"/>
        <v>0</v>
      </c>
      <c r="AJ56">
        <f t="shared" si="40"/>
        <v>0</v>
      </c>
      <c r="AK56">
        <f t="shared" si="41"/>
        <v>3020</v>
      </c>
      <c r="AL56">
        <f t="shared" si="42"/>
        <v>0</v>
      </c>
      <c r="AN56">
        <f t="shared" si="43"/>
        <v>0</v>
      </c>
      <c r="AO56">
        <f t="shared" si="44"/>
        <v>0</v>
      </c>
      <c r="AP56">
        <f t="shared" si="45"/>
        <v>3020</v>
      </c>
      <c r="AQ56">
        <f t="shared" si="46"/>
        <v>0</v>
      </c>
    </row>
    <row r="57" spans="2:43" ht="14.45" x14ac:dyDescent="0.3">
      <c r="B57" s="16"/>
      <c r="C57" s="8"/>
      <c r="D57" s="16"/>
      <c r="E57">
        <f t="shared" si="52"/>
        <v>0</v>
      </c>
      <c r="F57">
        <f t="shared" si="53"/>
        <v>1</v>
      </c>
      <c r="G57" s="16"/>
      <c r="H57" s="16">
        <v>0</v>
      </c>
      <c r="I57" s="16"/>
      <c r="J57" s="16"/>
      <c r="M57" s="4"/>
      <c r="O57" s="50">
        <v>0</v>
      </c>
      <c r="P57" s="1">
        <f>ROUND((O57*0.4),0)</f>
        <v>0</v>
      </c>
      <c r="Q57">
        <f>IF(O57&gt;0,((O57+500)-P57),0)</f>
        <v>0</v>
      </c>
      <c r="R57" s="6"/>
      <c r="S57" s="89">
        <v>3</v>
      </c>
      <c r="T57" s="72">
        <f t="shared" si="29"/>
        <v>0</v>
      </c>
      <c r="U57" s="7" t="str">
        <f t="shared" si="30"/>
        <v>NONE</v>
      </c>
      <c r="V57" s="68"/>
      <c r="W57" s="5"/>
      <c r="X57" s="72">
        <f>Q57+P57+T57</f>
        <v>0</v>
      </c>
      <c r="Y57" s="72"/>
      <c r="Z57" s="1">
        <f t="shared" si="31"/>
        <v>0</v>
      </c>
      <c r="AA57" s="1">
        <f t="shared" si="47"/>
        <v>0</v>
      </c>
      <c r="AB57" s="1"/>
      <c r="AC57" s="76">
        <f>(O57+T57)-AA57</f>
        <v>0</v>
      </c>
      <c r="AD57" s="1"/>
      <c r="AE57" s="1">
        <f t="shared" si="54"/>
        <v>0</v>
      </c>
      <c r="AF57" s="1">
        <f t="shared" si="37"/>
        <v>0</v>
      </c>
      <c r="AG57" s="1">
        <f t="shared" si="38"/>
        <v>0</v>
      </c>
      <c r="AI57">
        <f t="shared" si="39"/>
        <v>0</v>
      </c>
      <c r="AJ57">
        <f t="shared" si="40"/>
        <v>0</v>
      </c>
      <c r="AK57">
        <f t="shared" si="41"/>
        <v>0</v>
      </c>
      <c r="AL57">
        <f t="shared" si="42"/>
        <v>0</v>
      </c>
      <c r="AN57">
        <f t="shared" si="43"/>
        <v>0</v>
      </c>
      <c r="AO57">
        <f t="shared" si="44"/>
        <v>0</v>
      </c>
      <c r="AP57">
        <f t="shared" si="45"/>
        <v>0</v>
      </c>
      <c r="AQ57">
        <f t="shared" si="46"/>
        <v>0</v>
      </c>
    </row>
    <row r="58" spans="2:43" ht="14.45" x14ac:dyDescent="0.3">
      <c r="B58" s="8" t="s">
        <v>200</v>
      </c>
      <c r="C58" t="s">
        <v>199</v>
      </c>
      <c r="D58" s="16" t="s">
        <v>201</v>
      </c>
      <c r="E58">
        <f t="shared" si="52"/>
        <v>0</v>
      </c>
      <c r="F58">
        <f t="shared" si="53"/>
        <v>1</v>
      </c>
      <c r="G58" s="16" t="s">
        <v>198</v>
      </c>
      <c r="H58" s="16">
        <v>14</v>
      </c>
      <c r="I58" s="16"/>
      <c r="J58" s="16" t="s">
        <v>194</v>
      </c>
      <c r="K58" t="s">
        <v>56</v>
      </c>
      <c r="L58" s="5">
        <v>0</v>
      </c>
      <c r="M58" s="4" t="s">
        <v>37</v>
      </c>
      <c r="O58" s="50">
        <f>ROUND(((2311+500)*0.039)+2311,0)</f>
        <v>2421</v>
      </c>
      <c r="P58" s="1">
        <f>ROUND((O58*0.4),0)</f>
        <v>968</v>
      </c>
      <c r="Q58">
        <f>IF(O58&gt;0,((O58+500)-P58),0)</f>
        <v>1953</v>
      </c>
      <c r="R58" s="57" t="s">
        <v>202</v>
      </c>
      <c r="S58" s="89">
        <v>3</v>
      </c>
      <c r="T58" s="72">
        <f t="shared" si="29"/>
        <v>113.919</v>
      </c>
      <c r="U58" s="7" t="str">
        <f t="shared" si="30"/>
        <v>PAYPAL</v>
      </c>
      <c r="V58" s="68">
        <v>2</v>
      </c>
      <c r="W58" s="109" t="s">
        <v>333</v>
      </c>
      <c r="X58" s="1">
        <f t="shared" si="22"/>
        <v>2921</v>
      </c>
      <c r="Y58" s="1"/>
      <c r="Z58" s="1">
        <f t="shared" si="31"/>
        <v>0</v>
      </c>
      <c r="AA58" s="1">
        <f t="shared" si="47"/>
        <v>130</v>
      </c>
      <c r="AB58" s="1"/>
      <c r="AC58">
        <f>O58-AA58</f>
        <v>2291</v>
      </c>
      <c r="AD58" s="1"/>
      <c r="AE58" s="1">
        <f t="shared" si="54"/>
        <v>30</v>
      </c>
      <c r="AF58" s="1">
        <f t="shared" si="37"/>
        <v>2261</v>
      </c>
      <c r="AG58" s="1">
        <f t="shared" si="38"/>
        <v>2261</v>
      </c>
      <c r="AI58">
        <f t="shared" si="39"/>
        <v>0</v>
      </c>
      <c r="AJ58">
        <f t="shared" si="40"/>
        <v>0</v>
      </c>
      <c r="AK58">
        <f t="shared" si="41"/>
        <v>2421</v>
      </c>
      <c r="AL58">
        <f t="shared" si="42"/>
        <v>0</v>
      </c>
      <c r="AN58">
        <f t="shared" si="43"/>
        <v>0</v>
      </c>
      <c r="AO58">
        <f t="shared" si="44"/>
        <v>0</v>
      </c>
      <c r="AP58">
        <f t="shared" si="45"/>
        <v>2421</v>
      </c>
      <c r="AQ58">
        <f t="shared" si="46"/>
        <v>0</v>
      </c>
    </row>
    <row r="59" spans="2:43" ht="14.45" x14ac:dyDescent="0.3">
      <c r="B59" s="17" t="s">
        <v>147</v>
      </c>
      <c r="C59" t="s">
        <v>148</v>
      </c>
      <c r="D59" s="16" t="s">
        <v>62</v>
      </c>
      <c r="E59">
        <f t="shared" si="52"/>
        <v>0</v>
      </c>
      <c r="F59">
        <f t="shared" si="53"/>
        <v>1</v>
      </c>
      <c r="G59" t="s">
        <v>146</v>
      </c>
      <c r="H59" s="16">
        <v>7</v>
      </c>
      <c r="I59" s="16"/>
      <c r="J59" s="16" t="s">
        <v>109</v>
      </c>
      <c r="K59" t="s">
        <v>56</v>
      </c>
      <c r="L59" s="5">
        <v>0</v>
      </c>
      <c r="M59" s="4" t="s">
        <v>37</v>
      </c>
      <c r="O59" s="50">
        <v>1431</v>
      </c>
      <c r="P59" s="1">
        <f>ROUND(O59*0.4,0)</f>
        <v>572</v>
      </c>
      <c r="Q59">
        <f>IF(O59&gt;0,((O59+500)-P59),0)</f>
        <v>1359</v>
      </c>
      <c r="R59" s="57" t="s">
        <v>149</v>
      </c>
      <c r="S59" s="89">
        <v>3</v>
      </c>
      <c r="T59" s="72">
        <f t="shared" si="29"/>
        <v>75.308999999999997</v>
      </c>
      <c r="U59" s="7" t="str">
        <f t="shared" si="30"/>
        <v>PAYPAL</v>
      </c>
      <c r="V59" s="68">
        <v>2</v>
      </c>
      <c r="W59" s="90" t="s">
        <v>341</v>
      </c>
      <c r="X59" s="1">
        <f>Q59+P59</f>
        <v>1931</v>
      </c>
      <c r="Y59" s="1"/>
      <c r="Z59" s="1">
        <f t="shared" si="31"/>
        <v>0</v>
      </c>
      <c r="AA59" s="1">
        <f t="shared" si="47"/>
        <v>130</v>
      </c>
      <c r="AB59" s="1"/>
      <c r="AC59">
        <f>O59-AA59</f>
        <v>1301</v>
      </c>
      <c r="AD59" s="1"/>
      <c r="AE59" s="1">
        <f t="shared" si="54"/>
        <v>30</v>
      </c>
      <c r="AF59" s="1">
        <f t="shared" si="37"/>
        <v>1271</v>
      </c>
      <c r="AG59" s="1">
        <f t="shared" si="38"/>
        <v>1271</v>
      </c>
      <c r="AI59">
        <f t="shared" si="39"/>
        <v>0</v>
      </c>
      <c r="AJ59">
        <f t="shared" si="40"/>
        <v>0</v>
      </c>
      <c r="AK59">
        <f t="shared" si="41"/>
        <v>1431</v>
      </c>
      <c r="AL59">
        <f t="shared" si="42"/>
        <v>0</v>
      </c>
      <c r="AN59">
        <f t="shared" si="43"/>
        <v>0</v>
      </c>
      <c r="AO59">
        <f t="shared" si="44"/>
        <v>0</v>
      </c>
      <c r="AP59">
        <f t="shared" si="45"/>
        <v>1431</v>
      </c>
      <c r="AQ59">
        <f t="shared" si="46"/>
        <v>0</v>
      </c>
    </row>
    <row r="60" spans="2:43" ht="14.45" x14ac:dyDescent="0.3">
      <c r="B60" s="104" t="s">
        <v>83</v>
      </c>
      <c r="C60" s="8" t="s">
        <v>42</v>
      </c>
      <c r="D60" s="16" t="s">
        <v>43</v>
      </c>
      <c r="E60">
        <f t="shared" si="12"/>
        <v>3</v>
      </c>
      <c r="F60">
        <f t="shared" si="28"/>
        <v>0</v>
      </c>
      <c r="G60" t="s">
        <v>247</v>
      </c>
      <c r="H60" s="16">
        <v>3</v>
      </c>
      <c r="I60" s="16"/>
      <c r="J60" s="16" t="s">
        <v>64</v>
      </c>
      <c r="K60" t="s">
        <v>56</v>
      </c>
      <c r="L60" s="5">
        <v>3</v>
      </c>
      <c r="M60" s="4" t="s">
        <v>37</v>
      </c>
      <c r="O60" s="50">
        <v>0</v>
      </c>
      <c r="P60" s="1">
        <v>0</v>
      </c>
      <c r="Q60">
        <f t="shared" ref="Q60:Q70" si="55">IF(O60&gt;0,((O60+500)-P60),0)</f>
        <v>0</v>
      </c>
      <c r="R60" s="6" t="s">
        <v>43</v>
      </c>
      <c r="S60" s="72">
        <v>4</v>
      </c>
      <c r="T60" s="72">
        <f>IF(U60=$AD$2,47,IF(U60=$AD$1,ROUND(((Q60+P60)*0.039),0),IF(U60=$AD$3,0)))</f>
        <v>0</v>
      </c>
      <c r="U60" s="7" t="str">
        <f t="shared" si="30"/>
        <v>NONE</v>
      </c>
      <c r="V60" s="68"/>
      <c r="W60" s="5"/>
      <c r="X60" s="1">
        <f t="shared" si="22"/>
        <v>0</v>
      </c>
      <c r="Y60" s="1"/>
      <c r="Z60" s="1">
        <f t="shared" si="31"/>
        <v>0</v>
      </c>
      <c r="AA60" s="1">
        <f t="shared" si="47"/>
        <v>130</v>
      </c>
      <c r="AB60" s="1"/>
      <c r="AC60">
        <f>O60-AA60</f>
        <v>-130</v>
      </c>
      <c r="AD60" s="1"/>
      <c r="AE60" s="1">
        <f t="shared" si="32"/>
        <v>0</v>
      </c>
      <c r="AF60" s="1">
        <f t="shared" si="37"/>
        <v>0</v>
      </c>
      <c r="AG60" s="1">
        <f t="shared" si="38"/>
        <v>-130</v>
      </c>
      <c r="AI60">
        <f t="shared" si="39"/>
        <v>0</v>
      </c>
      <c r="AJ60">
        <f t="shared" si="40"/>
        <v>0</v>
      </c>
      <c r="AK60">
        <f t="shared" si="41"/>
        <v>0</v>
      </c>
      <c r="AL60">
        <f t="shared" si="42"/>
        <v>0</v>
      </c>
      <c r="AN60">
        <f t="shared" si="43"/>
        <v>0</v>
      </c>
      <c r="AO60">
        <f t="shared" si="44"/>
        <v>0</v>
      </c>
      <c r="AP60">
        <f t="shared" si="45"/>
        <v>0</v>
      </c>
      <c r="AQ60">
        <f t="shared" si="46"/>
        <v>0</v>
      </c>
    </row>
    <row r="61" spans="2:43" s="84" customFormat="1" ht="14.45" x14ac:dyDescent="0.3">
      <c r="B61" s="84" t="s">
        <v>186</v>
      </c>
      <c r="C61" s="84" t="s">
        <v>185</v>
      </c>
      <c r="D61" s="84" t="s">
        <v>31</v>
      </c>
      <c r="E61" s="84">
        <f t="shared" si="12"/>
        <v>0</v>
      </c>
      <c r="F61" s="84">
        <f t="shared" si="28"/>
        <v>1</v>
      </c>
      <c r="G61" s="84" t="s">
        <v>187</v>
      </c>
      <c r="H61" s="85">
        <v>11</v>
      </c>
      <c r="I61" s="85"/>
      <c r="J61" s="84" t="s">
        <v>188</v>
      </c>
      <c r="K61" s="84" t="s">
        <v>56</v>
      </c>
      <c r="L61" s="90">
        <v>0</v>
      </c>
      <c r="M61" s="96" t="s">
        <v>37</v>
      </c>
      <c r="O61" s="107">
        <v>1856</v>
      </c>
      <c r="P61" s="58">
        <f t="shared" ref="P61:P66" si="56">ROUND((O61*0.4),0)</f>
        <v>742</v>
      </c>
      <c r="Q61" s="84">
        <f t="shared" si="55"/>
        <v>1614</v>
      </c>
      <c r="R61" s="120" t="s">
        <v>189</v>
      </c>
      <c r="S61" s="127">
        <v>4</v>
      </c>
      <c r="T61" s="89">
        <f t="shared" si="29"/>
        <v>47</v>
      </c>
      <c r="U61" s="87" t="str">
        <f t="shared" si="30"/>
        <v>BANK</v>
      </c>
      <c r="V61" s="97">
        <v>1</v>
      </c>
      <c r="W61" s="90" t="s">
        <v>349</v>
      </c>
      <c r="X61" s="58">
        <f t="shared" ref="X61:X66" si="57">Q61+P61</f>
        <v>2356</v>
      </c>
      <c r="Y61" s="58"/>
      <c r="Z61" s="58">
        <f t="shared" si="31"/>
        <v>0</v>
      </c>
      <c r="AA61" s="58">
        <f t="shared" si="47"/>
        <v>130</v>
      </c>
      <c r="AB61" s="58"/>
      <c r="AC61" s="84">
        <f t="shared" ref="AC61:AC66" si="58">O61-AA61</f>
        <v>1726</v>
      </c>
      <c r="AD61" s="58"/>
      <c r="AE61" s="58">
        <f t="shared" si="32"/>
        <v>30</v>
      </c>
      <c r="AF61" s="58">
        <f t="shared" si="37"/>
        <v>1696</v>
      </c>
      <c r="AG61" s="58">
        <f t="shared" si="38"/>
        <v>1696</v>
      </c>
      <c r="AI61">
        <f t="shared" si="39"/>
        <v>0</v>
      </c>
      <c r="AJ61">
        <f t="shared" si="40"/>
        <v>0</v>
      </c>
      <c r="AK61">
        <f t="shared" si="41"/>
        <v>0</v>
      </c>
      <c r="AL61">
        <f t="shared" si="42"/>
        <v>1856</v>
      </c>
      <c r="AM61"/>
      <c r="AN61">
        <f t="shared" si="43"/>
        <v>0</v>
      </c>
      <c r="AO61">
        <f t="shared" si="44"/>
        <v>0</v>
      </c>
      <c r="AP61">
        <f t="shared" si="45"/>
        <v>0</v>
      </c>
      <c r="AQ61">
        <f t="shared" si="46"/>
        <v>1856</v>
      </c>
    </row>
    <row r="62" spans="2:43" s="84" customFormat="1" ht="14.45" x14ac:dyDescent="0.3">
      <c r="B62" s="84" t="s">
        <v>299</v>
      </c>
      <c r="C62" s="84" t="s">
        <v>297</v>
      </c>
      <c r="D62" s="84" t="s">
        <v>31</v>
      </c>
      <c r="E62" s="84">
        <f t="shared" si="12"/>
        <v>0</v>
      </c>
      <c r="F62" s="84">
        <f t="shared" si="28"/>
        <v>1</v>
      </c>
      <c r="G62" s="84" t="s">
        <v>298</v>
      </c>
      <c r="H62" s="85">
        <v>7</v>
      </c>
      <c r="I62" s="85"/>
      <c r="J62" s="84" t="s">
        <v>41</v>
      </c>
      <c r="K62" s="84" t="s">
        <v>56</v>
      </c>
      <c r="L62" s="90">
        <v>3</v>
      </c>
      <c r="M62" s="96" t="s">
        <v>37</v>
      </c>
      <c r="O62" s="107">
        <v>1364</v>
      </c>
      <c r="P62" s="58">
        <f>ROUND((O62*0.4),0)</f>
        <v>546</v>
      </c>
      <c r="Q62" s="84">
        <f>IF(O62&gt;0,((O62+500)-P62)+T62,0)</f>
        <v>1391</v>
      </c>
      <c r="R62" s="57">
        <v>40789</v>
      </c>
      <c r="S62" s="89">
        <v>4</v>
      </c>
      <c r="T62" s="89">
        <f>IF(U62=$AD$2,47,IF(U62=$AD$1,ROUND(((O62+500)*0.039),0),IF(U62=$AD$3,0)))</f>
        <v>73</v>
      </c>
      <c r="U62" s="87" t="str">
        <f t="shared" si="30"/>
        <v>PAYPAL</v>
      </c>
      <c r="V62" s="97">
        <v>2</v>
      </c>
      <c r="W62" s="90" t="s">
        <v>357</v>
      </c>
      <c r="X62" s="89">
        <f>Q62+P62</f>
        <v>1937</v>
      </c>
      <c r="Y62" s="89"/>
      <c r="Z62" s="58">
        <f t="shared" si="31"/>
        <v>0</v>
      </c>
      <c r="AA62" s="58">
        <f t="shared" si="47"/>
        <v>130</v>
      </c>
      <c r="AB62" s="58"/>
      <c r="AC62" s="98">
        <f>(O62+T62)-AA62</f>
        <v>1307</v>
      </c>
      <c r="AD62" s="58"/>
      <c r="AE62" s="58">
        <f t="shared" si="32"/>
        <v>30</v>
      </c>
      <c r="AF62" s="58">
        <f>IF(AG62&gt;0,AG47:AG62,0)</f>
        <v>1277</v>
      </c>
      <c r="AG62" s="58">
        <f t="shared" si="38"/>
        <v>1277</v>
      </c>
      <c r="AI62">
        <f t="shared" si="39"/>
        <v>0</v>
      </c>
      <c r="AJ62">
        <f t="shared" si="40"/>
        <v>0</v>
      </c>
      <c r="AK62">
        <f t="shared" si="41"/>
        <v>0</v>
      </c>
      <c r="AL62">
        <f t="shared" si="42"/>
        <v>1364</v>
      </c>
      <c r="AM62"/>
      <c r="AN62">
        <f t="shared" si="43"/>
        <v>0</v>
      </c>
      <c r="AO62">
        <f t="shared" si="44"/>
        <v>0</v>
      </c>
      <c r="AP62">
        <f t="shared" si="45"/>
        <v>0</v>
      </c>
      <c r="AQ62">
        <f t="shared" si="46"/>
        <v>1364</v>
      </c>
    </row>
    <row r="63" spans="2:43" s="84" customFormat="1" ht="14.45" x14ac:dyDescent="0.3">
      <c r="B63" s="122" t="s">
        <v>262</v>
      </c>
      <c r="C63" t="s">
        <v>216</v>
      </c>
      <c r="D63" s="84" t="s">
        <v>62</v>
      </c>
      <c r="E63" s="84">
        <f t="shared" si="12"/>
        <v>0</v>
      </c>
      <c r="F63" s="84">
        <f t="shared" si="28"/>
        <v>1</v>
      </c>
      <c r="G63" s="84" t="s">
        <v>250</v>
      </c>
      <c r="H63" s="85">
        <v>5</v>
      </c>
      <c r="I63" s="85"/>
      <c r="J63" s="84" t="s">
        <v>81</v>
      </c>
      <c r="K63" s="84" t="s">
        <v>56</v>
      </c>
      <c r="L63" s="60">
        <v>0</v>
      </c>
      <c r="M63" s="96" t="s">
        <v>37</v>
      </c>
      <c r="O63" s="107">
        <v>931</v>
      </c>
      <c r="P63" s="58">
        <f t="shared" si="56"/>
        <v>372</v>
      </c>
      <c r="Q63" s="84">
        <f t="shared" si="55"/>
        <v>1059</v>
      </c>
      <c r="R63" s="57" t="s">
        <v>217</v>
      </c>
      <c r="S63" s="89">
        <v>4</v>
      </c>
      <c r="T63" s="89">
        <f t="shared" si="29"/>
        <v>55.808999999999997</v>
      </c>
      <c r="U63" s="87" t="str">
        <f t="shared" si="30"/>
        <v>PAYPAL</v>
      </c>
      <c r="V63" s="97">
        <v>2</v>
      </c>
      <c r="W63" s="90" t="s">
        <v>357</v>
      </c>
      <c r="X63" s="58">
        <f t="shared" si="57"/>
        <v>1431</v>
      </c>
      <c r="Y63" s="58"/>
      <c r="Z63" s="58">
        <f t="shared" si="31"/>
        <v>0</v>
      </c>
      <c r="AA63" s="58">
        <f t="shared" si="47"/>
        <v>130</v>
      </c>
      <c r="AB63" s="58"/>
      <c r="AC63" s="84">
        <f t="shared" si="58"/>
        <v>801</v>
      </c>
      <c r="AD63" s="58"/>
      <c r="AE63" s="58">
        <f t="shared" si="32"/>
        <v>30</v>
      </c>
      <c r="AF63" s="58">
        <f t="shared" si="37"/>
        <v>771</v>
      </c>
      <c r="AG63" s="58">
        <f t="shared" si="38"/>
        <v>771</v>
      </c>
      <c r="AI63">
        <f t="shared" si="39"/>
        <v>0</v>
      </c>
      <c r="AJ63">
        <f t="shared" si="40"/>
        <v>0</v>
      </c>
      <c r="AK63">
        <f t="shared" si="41"/>
        <v>0</v>
      </c>
      <c r="AL63">
        <f t="shared" si="42"/>
        <v>931</v>
      </c>
      <c r="AM63"/>
      <c r="AN63">
        <f t="shared" si="43"/>
        <v>0</v>
      </c>
      <c r="AO63">
        <f t="shared" si="44"/>
        <v>0</v>
      </c>
      <c r="AP63">
        <f t="shared" si="45"/>
        <v>0</v>
      </c>
      <c r="AQ63">
        <f t="shared" si="46"/>
        <v>931</v>
      </c>
    </row>
    <row r="64" spans="2:43" ht="14.45" x14ac:dyDescent="0.3">
      <c r="B64" s="104" t="s">
        <v>83</v>
      </c>
      <c r="C64" s="8" t="s">
        <v>43</v>
      </c>
      <c r="D64" s="16" t="s">
        <v>43</v>
      </c>
      <c r="E64">
        <f>IF(D64=$B$12,H64,0)</f>
        <v>3</v>
      </c>
      <c r="F64">
        <f>IF(E64&gt;0,0,1)</f>
        <v>0</v>
      </c>
      <c r="G64" t="s">
        <v>251</v>
      </c>
      <c r="H64" s="16">
        <v>3</v>
      </c>
      <c r="I64" s="16"/>
      <c r="J64" s="16" t="s">
        <v>192</v>
      </c>
      <c r="K64" t="s">
        <v>56</v>
      </c>
      <c r="L64" s="5">
        <v>3</v>
      </c>
      <c r="M64" s="4" t="s">
        <v>37</v>
      </c>
      <c r="O64" s="107">
        <v>0</v>
      </c>
      <c r="P64" s="1">
        <f>ROUND((O64*0.4),0)</f>
        <v>0</v>
      </c>
      <c r="Q64">
        <f>IF(O64&gt;0,((O64+500)-P64),0)</f>
        <v>0</v>
      </c>
      <c r="R64" s="6"/>
      <c r="S64" s="72">
        <v>4</v>
      </c>
      <c r="T64" s="72">
        <f>IF(U64=$AD$2,47,IF(U64=$AD$1,ROUND(((Q64+P64)*0.039),0),IF(U64=$AD$3,0)))</f>
        <v>0</v>
      </c>
      <c r="U64" s="7" t="str">
        <f t="shared" si="30"/>
        <v>NONE</v>
      </c>
      <c r="V64" s="68"/>
      <c r="W64" s="5"/>
      <c r="X64" s="1">
        <f t="shared" si="57"/>
        <v>0</v>
      </c>
      <c r="Y64" s="1"/>
      <c r="Z64" s="1">
        <f t="shared" si="31"/>
        <v>0</v>
      </c>
      <c r="AA64" s="1">
        <f t="shared" si="47"/>
        <v>130</v>
      </c>
      <c r="AB64" s="1"/>
      <c r="AC64">
        <f t="shared" si="58"/>
        <v>-130</v>
      </c>
      <c r="AD64" s="1"/>
      <c r="AE64" s="1">
        <f>IF(H64&gt;0,30*F64,0)</f>
        <v>0</v>
      </c>
      <c r="AF64" s="1">
        <f t="shared" si="37"/>
        <v>0</v>
      </c>
      <c r="AG64" s="1">
        <f t="shared" si="38"/>
        <v>-130</v>
      </c>
      <c r="AI64">
        <f t="shared" si="39"/>
        <v>0</v>
      </c>
      <c r="AJ64">
        <f t="shared" si="40"/>
        <v>0</v>
      </c>
      <c r="AK64">
        <f t="shared" si="41"/>
        <v>0</v>
      </c>
      <c r="AL64">
        <f t="shared" si="42"/>
        <v>0</v>
      </c>
      <c r="AN64">
        <f t="shared" si="43"/>
        <v>0</v>
      </c>
      <c r="AO64">
        <f t="shared" si="44"/>
        <v>0</v>
      </c>
      <c r="AP64">
        <f t="shared" si="45"/>
        <v>0</v>
      </c>
      <c r="AQ64">
        <f t="shared" si="46"/>
        <v>0</v>
      </c>
    </row>
    <row r="65" spans="1:44" s="84" customFormat="1" ht="14.45" x14ac:dyDescent="0.3">
      <c r="B65" s="124" t="s">
        <v>273</v>
      </c>
      <c r="C65" s="84" t="s">
        <v>276</v>
      </c>
      <c r="D65" s="84" t="s">
        <v>31</v>
      </c>
      <c r="E65" s="84">
        <f>IF(D65=$B$12,H65,0)</f>
        <v>0</v>
      </c>
      <c r="F65" s="84">
        <f>IF(E65&gt;0,0,1)</f>
        <v>1</v>
      </c>
      <c r="G65" s="84" t="s">
        <v>274</v>
      </c>
      <c r="H65" s="85">
        <v>7</v>
      </c>
      <c r="I65" s="85"/>
      <c r="J65" s="84" t="s">
        <v>99</v>
      </c>
      <c r="K65" s="84" t="s">
        <v>56</v>
      </c>
      <c r="L65" s="90">
        <v>3</v>
      </c>
      <c r="M65" s="96" t="s">
        <v>37</v>
      </c>
      <c r="O65" s="107">
        <v>1474</v>
      </c>
      <c r="P65" s="58">
        <f>ROUND((O65*0.4),0)</f>
        <v>590</v>
      </c>
      <c r="Q65" s="84">
        <f>IF(O65&gt;0,((O65+500)-P65)+T65,0)</f>
        <v>1461</v>
      </c>
      <c r="R65" s="57" t="s">
        <v>275</v>
      </c>
      <c r="S65" s="89">
        <v>4</v>
      </c>
      <c r="T65" s="89">
        <f>IF(U65=$AD$2,47,IF(U65=$AD$1,ROUND(((O65+500)*0.039),0),IF(U65=$AD$3,0)))</f>
        <v>77</v>
      </c>
      <c r="U65" s="87" t="str">
        <f t="shared" si="30"/>
        <v>PAYPAL</v>
      </c>
      <c r="V65" s="97">
        <v>2</v>
      </c>
      <c r="W65" s="60" t="s">
        <v>357</v>
      </c>
      <c r="X65" s="89">
        <f>Q65+P65</f>
        <v>2051</v>
      </c>
      <c r="Y65" s="89"/>
      <c r="Z65" s="58">
        <f t="shared" si="31"/>
        <v>0</v>
      </c>
      <c r="AA65" s="58">
        <f t="shared" si="47"/>
        <v>130</v>
      </c>
      <c r="AB65" s="58"/>
      <c r="AC65" s="98">
        <f>(O65+T65)-AA65</f>
        <v>1421</v>
      </c>
      <c r="AD65" s="58"/>
      <c r="AE65" s="58">
        <f>IF(H65&gt;0,30*F65,0)</f>
        <v>30</v>
      </c>
      <c r="AF65" s="58">
        <f>IF(AG65&gt;0,AG48:AG65,0)</f>
        <v>1391</v>
      </c>
      <c r="AG65" s="58">
        <f t="shared" si="38"/>
        <v>1391</v>
      </c>
      <c r="AI65">
        <f t="shared" si="39"/>
        <v>0</v>
      </c>
      <c r="AJ65">
        <f t="shared" si="40"/>
        <v>0</v>
      </c>
      <c r="AK65">
        <f t="shared" si="41"/>
        <v>0</v>
      </c>
      <c r="AL65">
        <f t="shared" si="42"/>
        <v>1474</v>
      </c>
      <c r="AM65"/>
      <c r="AN65">
        <f t="shared" si="43"/>
        <v>0</v>
      </c>
      <c r="AO65">
        <f t="shared" si="44"/>
        <v>0</v>
      </c>
      <c r="AP65">
        <f t="shared" si="45"/>
        <v>0</v>
      </c>
      <c r="AQ65">
        <f t="shared" si="46"/>
        <v>1474</v>
      </c>
    </row>
    <row r="66" spans="1:44" s="84" customFormat="1" ht="14.45" x14ac:dyDescent="0.3">
      <c r="B66" s="86" t="s">
        <v>190</v>
      </c>
      <c r="C66" s="84" t="s">
        <v>355</v>
      </c>
      <c r="D66" s="85" t="s">
        <v>62</v>
      </c>
      <c r="E66" s="84">
        <f t="shared" si="12"/>
        <v>0</v>
      </c>
      <c r="F66" s="84">
        <f t="shared" si="28"/>
        <v>1</v>
      </c>
      <c r="G66" s="85" t="s">
        <v>191</v>
      </c>
      <c r="H66" s="85">
        <v>10</v>
      </c>
      <c r="I66" s="85"/>
      <c r="J66" s="85" t="s">
        <v>188</v>
      </c>
      <c r="K66" s="84" t="s">
        <v>56</v>
      </c>
      <c r="L66" s="90">
        <v>0</v>
      </c>
      <c r="M66" s="96" t="s">
        <v>37</v>
      </c>
      <c r="O66" s="107">
        <v>1790</v>
      </c>
      <c r="P66" s="58">
        <f t="shared" si="56"/>
        <v>716</v>
      </c>
      <c r="Q66" s="84">
        <f t="shared" si="55"/>
        <v>1574</v>
      </c>
      <c r="R66" s="57">
        <v>40808</v>
      </c>
      <c r="S66" s="89"/>
      <c r="T66" s="89">
        <f t="shared" si="29"/>
        <v>89.31</v>
      </c>
      <c r="U66" s="87" t="str">
        <f t="shared" si="30"/>
        <v>PAYPAL</v>
      </c>
      <c r="V66" s="97">
        <v>2</v>
      </c>
      <c r="W66" s="90" t="s">
        <v>357</v>
      </c>
      <c r="X66" s="58">
        <f t="shared" si="57"/>
        <v>2290</v>
      </c>
      <c r="Y66" s="58"/>
      <c r="Z66" s="58">
        <f t="shared" si="31"/>
        <v>0</v>
      </c>
      <c r="AA66" s="58">
        <f t="shared" si="47"/>
        <v>130</v>
      </c>
      <c r="AB66" s="58"/>
      <c r="AC66" s="84">
        <f t="shared" si="58"/>
        <v>1660</v>
      </c>
      <c r="AD66" s="58"/>
      <c r="AE66" s="58">
        <f t="shared" si="32"/>
        <v>30</v>
      </c>
      <c r="AF66" s="58">
        <f t="shared" si="37"/>
        <v>1630</v>
      </c>
      <c r="AG66" s="58">
        <f t="shared" si="38"/>
        <v>1630</v>
      </c>
      <c r="AI66" s="84">
        <f t="shared" si="39"/>
        <v>0</v>
      </c>
      <c r="AJ66" s="84">
        <f t="shared" si="40"/>
        <v>0</v>
      </c>
      <c r="AK66" s="84">
        <f t="shared" si="41"/>
        <v>0</v>
      </c>
      <c r="AL66" s="84">
        <f t="shared" si="42"/>
        <v>0</v>
      </c>
      <c r="AN66" s="84">
        <f t="shared" si="43"/>
        <v>0</v>
      </c>
      <c r="AO66" s="84">
        <f t="shared" si="44"/>
        <v>0</v>
      </c>
      <c r="AP66" s="84">
        <f t="shared" si="45"/>
        <v>0</v>
      </c>
      <c r="AQ66" s="84">
        <f t="shared" si="46"/>
        <v>0</v>
      </c>
    </row>
    <row r="67" spans="1:44" s="84" customFormat="1" ht="14.45" x14ac:dyDescent="0.3">
      <c r="B67" s="84" t="s">
        <v>336</v>
      </c>
      <c r="C67" s="84" t="s">
        <v>66</v>
      </c>
      <c r="D67" s="85" t="s">
        <v>31</v>
      </c>
      <c r="E67" s="84">
        <f>IF(D67=$B$12,H67,0)</f>
        <v>0</v>
      </c>
      <c r="F67" s="84">
        <f>IF(E67&gt;0,0,1)</f>
        <v>1</v>
      </c>
      <c r="G67" s="84" t="s">
        <v>335</v>
      </c>
      <c r="H67" s="85">
        <v>10</v>
      </c>
      <c r="I67" s="85"/>
      <c r="J67" s="84" t="s">
        <v>371</v>
      </c>
      <c r="K67" s="84" t="s">
        <v>56</v>
      </c>
      <c r="L67" s="90">
        <v>0</v>
      </c>
      <c r="M67" s="96" t="s">
        <v>37</v>
      </c>
      <c r="O67" s="107">
        <v>1852</v>
      </c>
      <c r="P67" s="58">
        <f>ROUND((O67*0.4),0)</f>
        <v>741</v>
      </c>
      <c r="Q67" s="84">
        <f>IF(O67&gt;0,((O67+500)-P67)+T67,0)</f>
        <v>1703</v>
      </c>
      <c r="R67" s="57" t="s">
        <v>35</v>
      </c>
      <c r="S67" s="89">
        <v>4</v>
      </c>
      <c r="T67" s="89">
        <f>IF(U67=$AD$2,47,IF(U67=$AD$1,ROUND(((O67+500)*0.039),0),IF(U67=$AD$3,0)))</f>
        <v>92</v>
      </c>
      <c r="U67" s="87" t="str">
        <f>IF(V67=1,$AD$2,IF(V67=2,$AD$1,IF(AND(V67&lt;&gt;1,V67&lt;&gt;20)=TRUE,$AD$3)))</f>
        <v>PAYPAL</v>
      </c>
      <c r="V67" s="97">
        <v>2</v>
      </c>
      <c r="W67" s="109" t="s">
        <v>372</v>
      </c>
      <c r="X67" s="89">
        <f>Q67+P67</f>
        <v>2444</v>
      </c>
      <c r="Y67" s="89"/>
      <c r="Z67" s="58">
        <f>IF(W67=$Z$1,Q67-500,0)</f>
        <v>0</v>
      </c>
      <c r="AA67" s="58">
        <f>IF(H67&gt;0,130,0)</f>
        <v>130</v>
      </c>
      <c r="AB67" s="58"/>
      <c r="AC67" s="98">
        <f>(O67+T67)-AA67</f>
        <v>1814</v>
      </c>
      <c r="AD67" s="58"/>
      <c r="AE67" s="58">
        <f>IF(H67&gt;0,30*F67,0)</f>
        <v>30</v>
      </c>
      <c r="AF67" s="58">
        <f>IF(AG67&gt;0,AG35:AG67,0)</f>
        <v>1784</v>
      </c>
      <c r="AG67" s="58">
        <f t="shared" si="38"/>
        <v>1784</v>
      </c>
      <c r="AI67" s="84">
        <f t="shared" si="39"/>
        <v>0</v>
      </c>
      <c r="AJ67" s="84">
        <f t="shared" si="40"/>
        <v>0</v>
      </c>
      <c r="AK67" s="84">
        <f t="shared" si="41"/>
        <v>0</v>
      </c>
      <c r="AL67" s="84">
        <f t="shared" si="42"/>
        <v>1852</v>
      </c>
      <c r="AN67" s="84">
        <f t="shared" si="43"/>
        <v>0</v>
      </c>
      <c r="AO67" s="84">
        <f t="shared" si="44"/>
        <v>0</v>
      </c>
      <c r="AP67" s="84">
        <f t="shared" si="45"/>
        <v>0</v>
      </c>
      <c r="AQ67" s="84">
        <f t="shared" si="46"/>
        <v>1852</v>
      </c>
    </row>
    <row r="68" spans="1:44" s="84" customFormat="1" ht="14.45" x14ac:dyDescent="0.3">
      <c r="B68" s="84" t="s">
        <v>284</v>
      </c>
      <c r="C68" s="84" t="s">
        <v>285</v>
      </c>
      <c r="D68" s="84" t="s">
        <v>31</v>
      </c>
      <c r="E68" s="84">
        <f t="shared" si="12"/>
        <v>0</v>
      </c>
      <c r="F68" s="84">
        <f t="shared" si="28"/>
        <v>1</v>
      </c>
      <c r="G68" s="84" t="s">
        <v>286</v>
      </c>
      <c r="H68" s="85">
        <v>8</v>
      </c>
      <c r="I68" s="85"/>
      <c r="J68" s="84" t="s">
        <v>41</v>
      </c>
      <c r="K68" s="84" t="s">
        <v>56</v>
      </c>
      <c r="L68" s="90">
        <v>0</v>
      </c>
      <c r="M68" s="96" t="s">
        <v>37</v>
      </c>
      <c r="O68" s="107">
        <v>1532</v>
      </c>
      <c r="P68" s="58">
        <f>ROUND((O68*0.4),0)</f>
        <v>613</v>
      </c>
      <c r="Q68" s="84">
        <f>IF(O68&gt;0,((O68+500)-P68)+T68,0)</f>
        <v>1498</v>
      </c>
      <c r="R68" s="57" t="s">
        <v>287</v>
      </c>
      <c r="S68" s="89">
        <v>4</v>
      </c>
      <c r="T68" s="89">
        <f>IF(U68=$AD$2,47,IF(U68=$AD$1,ROUND(((O68+500)*0.039),0),IF(U68=$AD$3,0)))</f>
        <v>79</v>
      </c>
      <c r="U68" s="87" t="str">
        <f t="shared" si="30"/>
        <v>PAYPAL</v>
      </c>
      <c r="V68" s="97">
        <v>2</v>
      </c>
      <c r="W68" s="109" t="s">
        <v>357</v>
      </c>
      <c r="X68" s="89">
        <f>Q68+P68</f>
        <v>2111</v>
      </c>
      <c r="Y68" s="89"/>
      <c r="Z68" s="58">
        <f t="shared" si="31"/>
        <v>0</v>
      </c>
      <c r="AA68" s="58">
        <f t="shared" si="47"/>
        <v>130</v>
      </c>
      <c r="AB68" s="58"/>
      <c r="AC68" s="98">
        <f>(O68+T68)-AA68</f>
        <v>1481</v>
      </c>
      <c r="AD68" s="58"/>
      <c r="AE68" s="58">
        <f t="shared" si="32"/>
        <v>30</v>
      </c>
      <c r="AF68" s="58">
        <f>IF(AG68&gt;0,AG50:AG68,0)</f>
        <v>1451</v>
      </c>
      <c r="AG68" s="58">
        <f t="shared" si="38"/>
        <v>1451</v>
      </c>
      <c r="AI68" s="84">
        <f t="shared" si="39"/>
        <v>0</v>
      </c>
      <c r="AJ68" s="84">
        <f t="shared" si="40"/>
        <v>0</v>
      </c>
      <c r="AK68" s="84">
        <f t="shared" si="41"/>
        <v>0</v>
      </c>
      <c r="AL68" s="84">
        <f t="shared" si="42"/>
        <v>1532</v>
      </c>
      <c r="AN68" s="84">
        <f t="shared" si="43"/>
        <v>0</v>
      </c>
      <c r="AO68" s="84">
        <f t="shared" si="44"/>
        <v>0</v>
      </c>
      <c r="AP68" s="84">
        <f t="shared" si="45"/>
        <v>0</v>
      </c>
      <c r="AQ68" s="84">
        <f t="shared" si="46"/>
        <v>1532</v>
      </c>
    </row>
    <row r="69" spans="1:44" s="84" customFormat="1" x14ac:dyDescent="0.25">
      <c r="B69" s="84" t="s">
        <v>281</v>
      </c>
      <c r="C69" s="84" t="s">
        <v>277</v>
      </c>
      <c r="D69" s="84" t="s">
        <v>184</v>
      </c>
      <c r="E69" s="84">
        <f t="shared" si="12"/>
        <v>0</v>
      </c>
      <c r="F69" s="84">
        <f t="shared" si="28"/>
        <v>1</v>
      </c>
      <c r="G69" s="84" t="s">
        <v>278</v>
      </c>
      <c r="H69" s="85">
        <v>6</v>
      </c>
      <c r="I69" s="85"/>
      <c r="J69" s="84" t="s">
        <v>279</v>
      </c>
      <c r="K69" s="84" t="s">
        <v>56</v>
      </c>
      <c r="L69" s="90">
        <v>0</v>
      </c>
      <c r="M69" s="96" t="s">
        <v>37</v>
      </c>
      <c r="O69" s="107">
        <v>1348</v>
      </c>
      <c r="P69" s="58">
        <f>ROUND((O69*0.4),0)</f>
        <v>539</v>
      </c>
      <c r="Q69" s="84">
        <f>IF(O69&gt;0,((O69+500)-P69)+T69,0)</f>
        <v>1381</v>
      </c>
      <c r="R69" s="57">
        <v>40841</v>
      </c>
      <c r="S69" s="89">
        <v>4</v>
      </c>
      <c r="T69" s="89">
        <f>IF(U69=$AD$2,47,IF(U69=$AD$1,ROUND(((O69+500)*0.039),0),IF(U69=$AD$3,0)))</f>
        <v>72</v>
      </c>
      <c r="U69" s="87" t="str">
        <f t="shared" si="30"/>
        <v>PAYPAL</v>
      </c>
      <c r="V69" s="97">
        <v>2</v>
      </c>
      <c r="W69" s="90" t="s">
        <v>357</v>
      </c>
      <c r="X69" s="89">
        <f>Q69+P69</f>
        <v>1920</v>
      </c>
      <c r="Y69" s="89"/>
      <c r="Z69" s="58">
        <f t="shared" si="31"/>
        <v>0</v>
      </c>
      <c r="AA69" s="58">
        <f t="shared" si="47"/>
        <v>130</v>
      </c>
      <c r="AB69" s="58"/>
      <c r="AC69" s="98">
        <f>(O69+T69)-AA69</f>
        <v>1290</v>
      </c>
      <c r="AD69" s="58"/>
      <c r="AE69" s="58">
        <f t="shared" si="32"/>
        <v>30</v>
      </c>
      <c r="AF69" s="58">
        <f>IF(AG69&gt;0,AG50:AG69,0)</f>
        <v>1260</v>
      </c>
      <c r="AG69" s="58">
        <f t="shared" si="38"/>
        <v>1260</v>
      </c>
      <c r="AI69" s="84">
        <f t="shared" si="39"/>
        <v>0</v>
      </c>
      <c r="AJ69" s="84">
        <f t="shared" si="40"/>
        <v>0</v>
      </c>
      <c r="AK69" s="84">
        <f t="shared" si="41"/>
        <v>0</v>
      </c>
      <c r="AL69" s="84">
        <f t="shared" si="42"/>
        <v>1348</v>
      </c>
      <c r="AN69" s="84">
        <f t="shared" si="43"/>
        <v>0</v>
      </c>
      <c r="AO69" s="84">
        <f t="shared" si="44"/>
        <v>0</v>
      </c>
      <c r="AP69" s="84">
        <f t="shared" si="45"/>
        <v>0</v>
      </c>
      <c r="AQ69" s="84">
        <f t="shared" si="46"/>
        <v>1348</v>
      </c>
    </row>
    <row r="70" spans="1:44" ht="14.45" x14ac:dyDescent="0.3">
      <c r="B70" s="104" t="s">
        <v>83</v>
      </c>
      <c r="C70" s="8" t="s">
        <v>42</v>
      </c>
      <c r="D70" s="16" t="s">
        <v>43</v>
      </c>
      <c r="E70">
        <f t="shared" si="12"/>
        <v>5</v>
      </c>
      <c r="F70">
        <f t="shared" si="28"/>
        <v>0</v>
      </c>
      <c r="G70" t="s">
        <v>248</v>
      </c>
      <c r="H70" s="16">
        <v>5</v>
      </c>
      <c r="I70" s="16"/>
      <c r="J70" s="16" t="s">
        <v>64</v>
      </c>
      <c r="K70" t="s">
        <v>56</v>
      </c>
      <c r="L70" s="5">
        <v>3</v>
      </c>
      <c r="M70" s="4" t="s">
        <v>37</v>
      </c>
      <c r="O70" s="50">
        <v>0</v>
      </c>
      <c r="P70" s="1">
        <v>0</v>
      </c>
      <c r="Q70">
        <f t="shared" si="55"/>
        <v>0</v>
      </c>
      <c r="R70" s="6" t="s">
        <v>43</v>
      </c>
      <c r="S70" s="72"/>
      <c r="T70" s="72">
        <f t="shared" si="29"/>
        <v>0</v>
      </c>
      <c r="U70" s="7" t="str">
        <f t="shared" si="30"/>
        <v>NONE</v>
      </c>
      <c r="V70" s="68"/>
      <c r="W70" s="5"/>
      <c r="X70" s="1">
        <f t="shared" si="22"/>
        <v>0</v>
      </c>
      <c r="Y70" s="1"/>
      <c r="Z70" s="1">
        <f t="shared" si="31"/>
        <v>0</v>
      </c>
      <c r="AA70" s="1">
        <f t="shared" si="47"/>
        <v>130</v>
      </c>
      <c r="AB70" s="1"/>
      <c r="AC70">
        <f>O70-AA70</f>
        <v>-130</v>
      </c>
      <c r="AD70" s="1"/>
      <c r="AE70" s="1">
        <f t="shared" si="32"/>
        <v>0</v>
      </c>
      <c r="AF70" s="1">
        <f t="shared" si="37"/>
        <v>0</v>
      </c>
      <c r="AG70" s="1">
        <f t="shared" si="38"/>
        <v>-130</v>
      </c>
      <c r="AI70">
        <f t="shared" si="39"/>
        <v>0</v>
      </c>
      <c r="AJ70">
        <f t="shared" si="40"/>
        <v>0</v>
      </c>
      <c r="AK70">
        <f t="shared" si="41"/>
        <v>0</v>
      </c>
      <c r="AL70">
        <f t="shared" si="42"/>
        <v>0</v>
      </c>
      <c r="AN70">
        <f t="shared" si="43"/>
        <v>0</v>
      </c>
      <c r="AO70">
        <f t="shared" si="44"/>
        <v>0</v>
      </c>
      <c r="AP70">
        <f t="shared" si="45"/>
        <v>0</v>
      </c>
      <c r="AQ70">
        <f t="shared" si="46"/>
        <v>0</v>
      </c>
    </row>
    <row r="71" spans="1:44" ht="14.45" x14ac:dyDescent="0.3">
      <c r="B71" s="16"/>
      <c r="C71" s="8"/>
      <c r="D71" s="16"/>
      <c r="E71">
        <f t="shared" si="12"/>
        <v>0</v>
      </c>
      <c r="F71">
        <f t="shared" si="28"/>
        <v>1</v>
      </c>
      <c r="G71" s="16"/>
      <c r="H71" s="16">
        <v>0</v>
      </c>
      <c r="I71" s="16"/>
      <c r="J71" s="16"/>
      <c r="M71" s="4"/>
      <c r="O71" s="50">
        <v>0</v>
      </c>
      <c r="P71" s="58">
        <f>ROUND((O71*0.4),0)</f>
        <v>0</v>
      </c>
      <c r="Q71" s="84">
        <f>IF(O71&gt;0,((O71+500)-P71)+T71,0)</f>
        <v>0</v>
      </c>
      <c r="R71" s="57"/>
      <c r="S71" s="89"/>
      <c r="T71" s="89">
        <f>IF(U71=$AD$2,47,IF(U71=$AD$1,ROUND(((O71+500)*0.039),0),IF(U71=$AD$3,0)))</f>
        <v>0</v>
      </c>
      <c r="U71" s="87" t="str">
        <f t="shared" si="30"/>
        <v>NONE</v>
      </c>
      <c r="V71" s="97"/>
      <c r="W71" s="90"/>
      <c r="X71" s="89">
        <f t="shared" si="22"/>
        <v>0</v>
      </c>
      <c r="Y71" s="72"/>
      <c r="Z71" s="1">
        <f t="shared" si="31"/>
        <v>0</v>
      </c>
      <c r="AA71" s="1">
        <f>IF(H71&gt;0,150,0)</f>
        <v>0</v>
      </c>
      <c r="AB71" s="1"/>
      <c r="AC71" s="76">
        <f>(O71+T71)-AA71</f>
        <v>0</v>
      </c>
      <c r="AD71" s="1"/>
      <c r="AE71" s="1">
        <f t="shared" si="32"/>
        <v>0</v>
      </c>
      <c r="AF71" s="1">
        <f t="shared" si="37"/>
        <v>0</v>
      </c>
      <c r="AG71" s="1">
        <f t="shared" si="38"/>
        <v>0</v>
      </c>
      <c r="AI71">
        <f t="shared" si="39"/>
        <v>0</v>
      </c>
      <c r="AJ71">
        <f t="shared" si="40"/>
        <v>0</v>
      </c>
      <c r="AK71">
        <f t="shared" si="41"/>
        <v>0</v>
      </c>
      <c r="AL71">
        <f t="shared" si="42"/>
        <v>0</v>
      </c>
      <c r="AN71">
        <f t="shared" si="43"/>
        <v>0</v>
      </c>
      <c r="AO71">
        <f t="shared" si="44"/>
        <v>0</v>
      </c>
      <c r="AP71">
        <f t="shared" si="45"/>
        <v>0</v>
      </c>
      <c r="AQ71">
        <f t="shared" si="46"/>
        <v>0</v>
      </c>
    </row>
    <row r="72" spans="1:44" ht="14.45" x14ac:dyDescent="0.3">
      <c r="B72" s="16"/>
      <c r="C72" s="99"/>
      <c r="D72" s="16"/>
      <c r="E72">
        <f t="shared" si="12"/>
        <v>0</v>
      </c>
      <c r="F72">
        <f t="shared" si="28"/>
        <v>1</v>
      </c>
      <c r="G72" s="16"/>
      <c r="H72" s="16">
        <v>0</v>
      </c>
      <c r="I72" s="16"/>
      <c r="J72" s="16"/>
      <c r="M72" s="4"/>
      <c r="O72" s="50">
        <v>0</v>
      </c>
      <c r="P72" s="58">
        <f>ROUND((O72*0.4),0)</f>
        <v>0</v>
      </c>
      <c r="Q72" s="84">
        <f>IF(O72&gt;0,((O72+500)-P72)+T72,0)</f>
        <v>0</v>
      </c>
      <c r="R72" s="57"/>
      <c r="S72" s="89"/>
      <c r="T72" s="89">
        <f>IF(U72=$AD$2,47,IF(U72=$AD$1,ROUND(((O72+500)*0.039),0),IF(U72=$AD$3,0)))</f>
        <v>0</v>
      </c>
      <c r="U72" s="87" t="str">
        <f t="shared" si="30"/>
        <v>NONE</v>
      </c>
      <c r="V72" s="97"/>
      <c r="W72" s="90"/>
      <c r="X72" s="89">
        <f t="shared" si="22"/>
        <v>0</v>
      </c>
      <c r="Y72" s="72"/>
      <c r="Z72" s="1">
        <f t="shared" si="31"/>
        <v>0</v>
      </c>
      <c r="AA72" s="1">
        <f>IF(H72&gt;0,150,0)</f>
        <v>0</v>
      </c>
      <c r="AB72" s="1"/>
      <c r="AC72" s="76">
        <f>(O72+T72)-AA72</f>
        <v>0</v>
      </c>
      <c r="AD72" s="1"/>
      <c r="AE72" s="1">
        <f t="shared" si="32"/>
        <v>0</v>
      </c>
      <c r="AF72" s="1">
        <f t="shared" si="37"/>
        <v>0</v>
      </c>
      <c r="AG72" s="1">
        <f t="shared" si="38"/>
        <v>0</v>
      </c>
      <c r="AI72">
        <f t="shared" si="39"/>
        <v>0</v>
      </c>
      <c r="AJ72">
        <f t="shared" si="40"/>
        <v>0</v>
      </c>
      <c r="AK72">
        <f t="shared" si="41"/>
        <v>0</v>
      </c>
      <c r="AL72">
        <f t="shared" si="42"/>
        <v>0</v>
      </c>
      <c r="AN72">
        <f t="shared" si="43"/>
        <v>0</v>
      </c>
      <c r="AO72">
        <f t="shared" si="44"/>
        <v>0</v>
      </c>
      <c r="AP72">
        <f t="shared" si="45"/>
        <v>0</v>
      </c>
      <c r="AQ72">
        <f t="shared" si="46"/>
        <v>0</v>
      </c>
    </row>
    <row r="73" spans="1:44" ht="14.45" x14ac:dyDescent="0.3">
      <c r="A73" s="45"/>
      <c r="B73" s="194">
        <f>COUNTIFS(D36:D72,"&lt;&gt;NA")-COUNTIFS(D36:D72,"="&amp;$D$1)</f>
        <v>24</v>
      </c>
      <c r="C73" s="174" t="s">
        <v>479</v>
      </c>
      <c r="D73" s="46">
        <f>SUM(E36:E72)</f>
        <v>92</v>
      </c>
      <c r="E73" s="46"/>
      <c r="F73" s="46"/>
      <c r="G73" s="63" t="s">
        <v>219</v>
      </c>
      <c r="H73" s="62">
        <f>SUM(H36:H72)-SUM(E36:E72)</f>
        <v>216</v>
      </c>
      <c r="I73" s="62"/>
      <c r="J73" s="61">
        <f>ROUND(H73/7,0)</f>
        <v>31</v>
      </c>
      <c r="K73" s="61" t="s">
        <v>218</v>
      </c>
      <c r="L73" s="63" t="s">
        <v>220</v>
      </c>
      <c r="M73" s="151">
        <f>ROUND(AF73/J73,0)</f>
        <v>1325</v>
      </c>
      <c r="N73" s="45"/>
      <c r="O73" s="82">
        <f>SUM(O36:O72)</f>
        <v>44521.279999999999</v>
      </c>
      <c r="P73" s="49"/>
      <c r="Q73" s="80">
        <f>Z73</f>
        <v>0</v>
      </c>
      <c r="R73" s="79" t="s">
        <v>258</v>
      </c>
      <c r="S73" s="126"/>
      <c r="T73" s="73"/>
      <c r="U73" s="48"/>
      <c r="V73" s="69"/>
      <c r="W73" s="47"/>
      <c r="X73" s="49"/>
      <c r="Y73" s="49">
        <f>Z73</f>
        <v>0</v>
      </c>
      <c r="Z73" s="49">
        <f>SUM(Z36:Z72)</f>
        <v>0</v>
      </c>
      <c r="AA73" s="49">
        <f>SUM(AA36:AA72)</f>
        <v>4460</v>
      </c>
      <c r="AB73" s="49">
        <f>AA73</f>
        <v>4460</v>
      </c>
      <c r="AC73" s="45"/>
      <c r="AD73" s="49"/>
      <c r="AE73" s="49">
        <f>SUM(AE36:AE72)</f>
        <v>720</v>
      </c>
      <c r="AF73" s="49">
        <f>SUM(AF36:AF72)</f>
        <v>41074.28</v>
      </c>
      <c r="AG73" s="82">
        <f>SUM(AG36:AG72)</f>
        <v>39734.28</v>
      </c>
      <c r="AH73" s="45">
        <f>AG73</f>
        <v>39734.28</v>
      </c>
      <c r="AI73" s="129">
        <f>SUM(AI36:AI72)</f>
        <v>7092</v>
      </c>
      <c r="AJ73" s="129">
        <f t="shared" ref="AJ73:AL73" si="59">SUM(AJ36:AJ72)</f>
        <v>13747.279999999999</v>
      </c>
      <c r="AK73" s="129">
        <f t="shared" si="59"/>
        <v>11535</v>
      </c>
      <c r="AL73" s="129">
        <f t="shared" si="59"/>
        <v>10357</v>
      </c>
      <c r="AM73" s="131">
        <f>SUM(AI73:AL73)</f>
        <v>42731.28</v>
      </c>
      <c r="AN73" s="129">
        <f>SUM(AN36:AN72)</f>
        <v>7092</v>
      </c>
      <c r="AO73" s="129">
        <f t="shared" ref="AO73" si="60">SUM(AO36:AO72)</f>
        <v>13747.279999999999</v>
      </c>
      <c r="AP73" s="129">
        <f t="shared" ref="AP73" si="61">SUM(AP36:AP72)</f>
        <v>11535</v>
      </c>
      <c r="AQ73" s="129">
        <f t="shared" ref="AQ73" si="62">SUM(AQ36:AQ72)</f>
        <v>10357</v>
      </c>
      <c r="AR73" s="131">
        <f>SUM(AN73:AQ73)</f>
        <v>42731.28</v>
      </c>
    </row>
    <row r="74" spans="1:44" ht="23.45" x14ac:dyDescent="0.45">
      <c r="A74" s="31"/>
      <c r="B74" s="28">
        <v>2012</v>
      </c>
      <c r="C74" s="29"/>
      <c r="D74" s="30"/>
      <c r="E74" s="30"/>
      <c r="F74" s="30"/>
      <c r="G74" s="30"/>
      <c r="H74" s="30"/>
      <c r="I74" s="30"/>
      <c r="J74" s="30"/>
      <c r="K74" s="31"/>
      <c r="L74" s="32"/>
      <c r="M74" s="33"/>
      <c r="N74" s="31"/>
      <c r="O74" s="34"/>
      <c r="P74" s="34"/>
      <c r="Q74" s="31"/>
      <c r="R74" s="35"/>
      <c r="S74" s="71"/>
      <c r="T74" s="71"/>
      <c r="U74" s="36"/>
      <c r="V74" s="70"/>
      <c r="W74" s="32"/>
      <c r="X74" s="34"/>
      <c r="Y74" s="34"/>
      <c r="Z74" s="34"/>
      <c r="AA74" s="34"/>
      <c r="AB74" s="34"/>
      <c r="AC74" s="31"/>
      <c r="AD74" s="34"/>
      <c r="AE74" s="34"/>
      <c r="AF74" s="34"/>
      <c r="AG74" s="34"/>
      <c r="AI74" s="119">
        <f>ROUNDUP(AI73*0.04,0)</f>
        <v>284</v>
      </c>
      <c r="AJ74" s="119">
        <f t="shared" ref="AJ74" si="63">ROUNDUP(AJ73*0.04,0)</f>
        <v>550</v>
      </c>
      <c r="AK74" s="119">
        <f t="shared" ref="AK74" si="64">ROUNDUP(AK73*0.04,0)</f>
        <v>462</v>
      </c>
      <c r="AL74" s="119">
        <f t="shared" ref="AL74" si="65">ROUNDUP(AL73*0.04,0)</f>
        <v>415</v>
      </c>
      <c r="AM74" s="131">
        <f t="shared" ref="AM74" si="66">SUM(AI74:AL74)</f>
        <v>1711</v>
      </c>
      <c r="AN74" s="119">
        <f>ROUNDUP(AN73*0.06,0)</f>
        <v>426</v>
      </c>
      <c r="AO74" s="119">
        <f t="shared" ref="AO74" si="67">ROUNDUP(AO73*0.06,0)</f>
        <v>825</v>
      </c>
      <c r="AP74" s="119">
        <f t="shared" ref="AP74" si="68">ROUNDUP(AP73*0.06,0)</f>
        <v>693</v>
      </c>
      <c r="AQ74" s="119">
        <f t="shared" ref="AQ74" si="69">ROUNDUP(AQ73*0.06,0)</f>
        <v>622</v>
      </c>
      <c r="AR74" s="131">
        <f t="shared" ref="AR74" si="70">SUM(AN74:AQ74)</f>
        <v>2566</v>
      </c>
    </row>
    <row r="75" spans="1:44" ht="14.45" x14ac:dyDescent="0.3">
      <c r="B75" s="104" t="s">
        <v>83</v>
      </c>
      <c r="C75" s="8" t="s">
        <v>42</v>
      </c>
      <c r="D75" s="16" t="s">
        <v>43</v>
      </c>
      <c r="E75">
        <f t="shared" ref="E75:E79" si="71">IF(D75=$B$12,H75,0)</f>
        <v>58</v>
      </c>
      <c r="F75">
        <f t="shared" ref="F75:F79" si="72">IF(E75&gt;0,0,1)</f>
        <v>0</v>
      </c>
      <c r="G75" t="s">
        <v>249</v>
      </c>
      <c r="H75" s="16">
        <v>58</v>
      </c>
      <c r="I75" s="16"/>
      <c r="J75" t="s">
        <v>144</v>
      </c>
      <c r="K75" t="s">
        <v>56</v>
      </c>
      <c r="L75" s="5">
        <v>3</v>
      </c>
      <c r="M75" s="4" t="s">
        <v>37</v>
      </c>
      <c r="O75" s="50">
        <v>0</v>
      </c>
      <c r="P75" s="1">
        <v>0</v>
      </c>
      <c r="Q75">
        <f>IF(O75&gt;0,((O75+500)-P75),0)</f>
        <v>0</v>
      </c>
      <c r="R75" s="6" t="s">
        <v>43</v>
      </c>
      <c r="S75" s="72">
        <v>1</v>
      </c>
      <c r="T75" s="72">
        <f>IF(U75=$AD$2,47,IF(U75=$AD$1,ROUND(((Q75+P75)*0.039),0),IF(U75=$AD$3,0)))</f>
        <v>0</v>
      </c>
      <c r="U75" s="7" t="str">
        <f t="shared" ref="U75:U107" si="73">IF(V75=1,$AD$2,IF(V75=2,$AD$1,IF(AND(V75&lt;&gt;1,V75&lt;&gt;20)=TRUE,$AD$3)))</f>
        <v>NONE</v>
      </c>
      <c r="V75" s="68"/>
      <c r="W75" s="5"/>
      <c r="X75" s="1">
        <f t="shared" ref="X75:X79" si="74">Q75+P75</f>
        <v>0</v>
      </c>
      <c r="Y75" s="1"/>
      <c r="Z75" s="1">
        <f t="shared" ref="Z75:Z107" si="75">IF(W75=$Z$1,Q75-500,0)</f>
        <v>0</v>
      </c>
      <c r="AA75" s="1">
        <f t="shared" ref="AA75:AA107" si="76">IF(H75&gt;0,130,0)</f>
        <v>130</v>
      </c>
      <c r="AB75" s="1"/>
      <c r="AC75">
        <f>O75-AA75</f>
        <v>-130</v>
      </c>
      <c r="AD75" s="1"/>
      <c r="AE75" s="1">
        <f t="shared" ref="AE75:AE107" si="77">IF(H75&gt;0,30*F75,0)</f>
        <v>0</v>
      </c>
      <c r="AF75" s="1">
        <f>IF(AG75&gt;0,AG75,0)</f>
        <v>0</v>
      </c>
      <c r="AG75" s="1">
        <f t="shared" ref="AG75:AG107" si="78">AC75-AE75</f>
        <v>-130</v>
      </c>
      <c r="AI75">
        <f t="shared" ref="AI75:AI107" si="79">IF(S75=1,O75,0)</f>
        <v>0</v>
      </c>
      <c r="AJ75">
        <f t="shared" ref="AJ75:AJ107" si="80">IF(S75=2,O75,0)</f>
        <v>0</v>
      </c>
      <c r="AK75">
        <f t="shared" ref="AK75:AK107" si="81">IF(S75=3,O75,0)</f>
        <v>0</v>
      </c>
      <c r="AL75">
        <f t="shared" ref="AL75:AL107" si="82">IF(S75=4,O75,0)</f>
        <v>0</v>
      </c>
      <c r="AN75">
        <f t="shared" ref="AN75:AN107" si="83">IF(S75=1,O75,0)</f>
        <v>0</v>
      </c>
      <c r="AO75">
        <f t="shared" ref="AO75:AO107" si="84">IF(S75=2,O75,0)</f>
        <v>0</v>
      </c>
      <c r="AP75">
        <f t="shared" ref="AP75:AP107" si="85">IF(S75=3,O75,0)</f>
        <v>0</v>
      </c>
      <c r="AQ75">
        <f t="shared" ref="AQ75:AQ107" si="86">IF(S75=4,O75,0)</f>
        <v>0</v>
      </c>
    </row>
    <row r="76" spans="1:44" s="84" customFormat="1" ht="16.5" customHeight="1" x14ac:dyDescent="0.3">
      <c r="B76" s="84" t="s">
        <v>327</v>
      </c>
      <c r="C76" t="s">
        <v>213</v>
      </c>
      <c r="D76" s="84" t="s">
        <v>31</v>
      </c>
      <c r="E76" s="84">
        <f t="shared" si="71"/>
        <v>0</v>
      </c>
      <c r="F76" s="84">
        <f t="shared" si="72"/>
        <v>1</v>
      </c>
      <c r="G76" s="84" t="s">
        <v>214</v>
      </c>
      <c r="H76" s="85">
        <v>14</v>
      </c>
      <c r="I76" s="85"/>
      <c r="J76" s="84" t="s">
        <v>109</v>
      </c>
      <c r="K76" s="84" t="s">
        <v>56</v>
      </c>
      <c r="L76" s="90">
        <v>0</v>
      </c>
      <c r="M76" s="96" t="s">
        <v>37</v>
      </c>
      <c r="O76" s="50">
        <v>2751</v>
      </c>
      <c r="P76" s="58">
        <f t="shared" ref="P76:P82" si="87">ROUND((O76*0.4),0)</f>
        <v>1100</v>
      </c>
      <c r="Q76" s="84">
        <f>IF(O76&gt;0,((O76+500)-P76),0)</f>
        <v>2151</v>
      </c>
      <c r="R76" s="57" t="s">
        <v>215</v>
      </c>
      <c r="S76" s="72">
        <v>1</v>
      </c>
      <c r="T76" s="89">
        <f>IF(U76=$AD$2,47,IF(U76=$AD$1,ROUND(((Q76+P76)*0.039),0),IF(U76=$AD$3,0)))</f>
        <v>0</v>
      </c>
      <c r="U76" s="87" t="str">
        <f t="shared" si="73"/>
        <v>NONE</v>
      </c>
      <c r="V76" s="97"/>
      <c r="W76" s="90" t="s">
        <v>357</v>
      </c>
      <c r="X76" s="58">
        <f t="shared" si="74"/>
        <v>3251</v>
      </c>
      <c r="Y76" s="58"/>
      <c r="Z76" s="58">
        <f t="shared" si="75"/>
        <v>0</v>
      </c>
      <c r="AA76" s="58">
        <f t="shared" si="76"/>
        <v>130</v>
      </c>
      <c r="AB76" s="58"/>
      <c r="AC76" s="84">
        <f>O76-AA76</f>
        <v>2621</v>
      </c>
      <c r="AD76" s="58"/>
      <c r="AE76" s="58">
        <f t="shared" si="77"/>
        <v>30</v>
      </c>
      <c r="AF76" s="58">
        <f>IF(AG76&gt;0,AG76,0)</f>
        <v>2591</v>
      </c>
      <c r="AG76" s="58">
        <f t="shared" si="78"/>
        <v>2591</v>
      </c>
      <c r="AI76">
        <f t="shared" si="79"/>
        <v>2751</v>
      </c>
      <c r="AJ76">
        <f t="shared" si="80"/>
        <v>0</v>
      </c>
      <c r="AK76">
        <f t="shared" si="81"/>
        <v>0</v>
      </c>
      <c r="AL76">
        <f t="shared" si="82"/>
        <v>0</v>
      </c>
      <c r="AM76"/>
      <c r="AN76">
        <f t="shared" si="83"/>
        <v>2751</v>
      </c>
      <c r="AO76">
        <f t="shared" si="84"/>
        <v>0</v>
      </c>
      <c r="AP76">
        <f t="shared" si="85"/>
        <v>0</v>
      </c>
      <c r="AQ76">
        <f t="shared" si="86"/>
        <v>0</v>
      </c>
    </row>
    <row r="77" spans="1:44" s="84" customFormat="1" ht="14.45" x14ac:dyDescent="0.3">
      <c r="B77" s="121" t="s">
        <v>350</v>
      </c>
      <c r="C77" t="s">
        <v>351</v>
      </c>
      <c r="D77" s="85" t="s">
        <v>31</v>
      </c>
      <c r="E77" s="84">
        <f t="shared" si="71"/>
        <v>0</v>
      </c>
      <c r="F77" s="84">
        <f t="shared" si="72"/>
        <v>1</v>
      </c>
      <c r="G77" s="85" t="s">
        <v>352</v>
      </c>
      <c r="H77" s="85">
        <v>14</v>
      </c>
      <c r="I77" s="85"/>
      <c r="J77" s="85" t="s">
        <v>353</v>
      </c>
      <c r="K77" s="84" t="s">
        <v>56</v>
      </c>
      <c r="L77" s="90">
        <v>0</v>
      </c>
      <c r="M77" s="96" t="s">
        <v>37</v>
      </c>
      <c r="O77" s="50">
        <v>3012</v>
      </c>
      <c r="P77" s="58">
        <f t="shared" si="87"/>
        <v>1205</v>
      </c>
      <c r="Q77" s="84">
        <f t="shared" ref="Q77:Q82" si="88">IF(O77&gt;0,((O77+500)-P77)+T77,0)</f>
        <v>2409</v>
      </c>
      <c r="R77" s="57" t="s">
        <v>354</v>
      </c>
      <c r="S77" s="72">
        <v>1</v>
      </c>
      <c r="T77" s="89">
        <f>IF(U77=$AD$2,47,IF(U77=$AD$1,ROUND(((O77+500)*0.029),0),IF(U77=$AD$3,0)))</f>
        <v>102</v>
      </c>
      <c r="U77" s="87" t="str">
        <f>IF(V77=1,$AD$2,IF(V77=2,$AD$1,IF(AND(V77&lt;&gt;1,V77&lt;&gt;20)=TRUE,$AD$3)))</f>
        <v>PAYPAL</v>
      </c>
      <c r="V77" s="97">
        <v>2</v>
      </c>
      <c r="W77" s="90" t="s">
        <v>394</v>
      </c>
      <c r="X77" s="89">
        <f t="shared" si="74"/>
        <v>3614</v>
      </c>
      <c r="Y77" s="89"/>
      <c r="Z77" s="58">
        <f>IF(W77=$Z$1,Q77-500,0)</f>
        <v>0</v>
      </c>
      <c r="AA77" s="58">
        <f>IF(H77&gt;0,130,0)</f>
        <v>130</v>
      </c>
      <c r="AB77" s="58"/>
      <c r="AC77" s="98">
        <f>(O77+T77)-AA77</f>
        <v>2984</v>
      </c>
      <c r="AD77" s="58"/>
      <c r="AE77" s="58">
        <f>IF(H77&gt;0,30*F77,0)</f>
        <v>30</v>
      </c>
      <c r="AF77" s="58">
        <f>IF(AG77&gt;0,AG77,0)</f>
        <v>2954</v>
      </c>
      <c r="AG77" s="58">
        <f t="shared" si="78"/>
        <v>2954</v>
      </c>
      <c r="AI77">
        <f t="shared" si="79"/>
        <v>3012</v>
      </c>
      <c r="AJ77">
        <f t="shared" si="80"/>
        <v>0</v>
      </c>
      <c r="AK77">
        <f t="shared" si="81"/>
        <v>0</v>
      </c>
      <c r="AL77">
        <f t="shared" si="82"/>
        <v>0</v>
      </c>
      <c r="AM77"/>
      <c r="AN77">
        <f t="shared" si="83"/>
        <v>3012</v>
      </c>
      <c r="AO77">
        <f t="shared" si="84"/>
        <v>0</v>
      </c>
      <c r="AP77">
        <f t="shared" si="85"/>
        <v>0</v>
      </c>
      <c r="AQ77">
        <f t="shared" si="86"/>
        <v>0</v>
      </c>
    </row>
    <row r="78" spans="1:44" s="84" customFormat="1" ht="14.45" x14ac:dyDescent="0.3">
      <c r="B78" s="85" t="s">
        <v>269</v>
      </c>
      <c r="C78" t="s">
        <v>270</v>
      </c>
      <c r="D78" s="85" t="s">
        <v>62</v>
      </c>
      <c r="E78" s="84">
        <f t="shared" si="71"/>
        <v>0</v>
      </c>
      <c r="F78" s="84">
        <f t="shared" si="72"/>
        <v>1</v>
      </c>
      <c r="G78" s="84" t="s">
        <v>271</v>
      </c>
      <c r="H78" s="85">
        <v>7</v>
      </c>
      <c r="I78" s="85"/>
      <c r="J78" s="85" t="s">
        <v>205</v>
      </c>
      <c r="K78" s="84" t="s">
        <v>56</v>
      </c>
      <c r="L78" s="90">
        <v>0</v>
      </c>
      <c r="M78" s="96" t="s">
        <v>37</v>
      </c>
      <c r="O78" s="50">
        <v>1663</v>
      </c>
      <c r="P78" s="58">
        <f t="shared" si="87"/>
        <v>665</v>
      </c>
      <c r="Q78" s="84">
        <f t="shared" si="88"/>
        <v>1582</v>
      </c>
      <c r="R78" s="57" t="s">
        <v>272</v>
      </c>
      <c r="S78" s="72">
        <v>1</v>
      </c>
      <c r="T78" s="89">
        <f>IF(U78=$AD$2,47,IF(U78=$AD$1,ROUND(((O78+500)*0.039),0),IF(U78=$AD$3,0)))</f>
        <v>84</v>
      </c>
      <c r="U78" s="87" t="str">
        <f t="shared" si="73"/>
        <v>PAYPAL</v>
      </c>
      <c r="V78" s="97">
        <v>2</v>
      </c>
      <c r="W78" s="90" t="s">
        <v>357</v>
      </c>
      <c r="X78" s="58">
        <f t="shared" si="74"/>
        <v>2247</v>
      </c>
      <c r="Y78" s="58"/>
      <c r="Z78" s="58">
        <f t="shared" si="75"/>
        <v>0</v>
      </c>
      <c r="AA78" s="58">
        <f t="shared" si="76"/>
        <v>130</v>
      </c>
      <c r="AB78" s="58"/>
      <c r="AC78" s="84">
        <f>O78-AA78</f>
        <v>1533</v>
      </c>
      <c r="AD78" s="58"/>
      <c r="AE78" s="58">
        <f t="shared" si="77"/>
        <v>30</v>
      </c>
      <c r="AF78" s="58">
        <f>IF(AG78&gt;0,AG78,0)</f>
        <v>1503</v>
      </c>
      <c r="AG78" s="58">
        <f t="shared" si="78"/>
        <v>1503</v>
      </c>
      <c r="AI78">
        <f t="shared" si="79"/>
        <v>1663</v>
      </c>
      <c r="AJ78">
        <f t="shared" si="80"/>
        <v>0</v>
      </c>
      <c r="AK78">
        <f t="shared" si="81"/>
        <v>0</v>
      </c>
      <c r="AL78">
        <f t="shared" si="82"/>
        <v>0</v>
      </c>
      <c r="AM78"/>
      <c r="AN78">
        <f t="shared" si="83"/>
        <v>1663</v>
      </c>
      <c r="AO78">
        <f t="shared" si="84"/>
        <v>0</v>
      </c>
      <c r="AP78">
        <f t="shared" si="85"/>
        <v>0</v>
      </c>
      <c r="AQ78">
        <f t="shared" si="86"/>
        <v>0</v>
      </c>
    </row>
    <row r="79" spans="1:44" s="84" customFormat="1" ht="15.6" x14ac:dyDescent="0.3">
      <c r="B79" s="100" t="s">
        <v>288</v>
      </c>
      <c r="C79" t="s">
        <v>280</v>
      </c>
      <c r="D79" s="85" t="s">
        <v>31</v>
      </c>
      <c r="E79" s="84">
        <f t="shared" si="71"/>
        <v>0</v>
      </c>
      <c r="F79" s="84">
        <f t="shared" si="72"/>
        <v>1</v>
      </c>
      <c r="G79" s="84" t="s">
        <v>289</v>
      </c>
      <c r="H79" s="85">
        <v>6</v>
      </c>
      <c r="I79" s="85"/>
      <c r="J79" s="85" t="s">
        <v>144</v>
      </c>
      <c r="K79" s="84" t="s">
        <v>56</v>
      </c>
      <c r="L79" s="90">
        <v>0</v>
      </c>
      <c r="M79" s="96" t="s">
        <v>37</v>
      </c>
      <c r="O79" s="50">
        <v>1340</v>
      </c>
      <c r="P79" s="58">
        <f t="shared" si="87"/>
        <v>536</v>
      </c>
      <c r="Q79" s="84">
        <f t="shared" si="88"/>
        <v>1376</v>
      </c>
      <c r="R79" s="57" t="s">
        <v>290</v>
      </c>
      <c r="S79" s="89">
        <v>2</v>
      </c>
      <c r="T79" s="89">
        <f>IF(U79=$AD$2,47,IF(U79=$AD$1,ROUND(((O79+500)*0.039),0),IF(U79=$AD$3,0)))</f>
        <v>72</v>
      </c>
      <c r="U79" s="87" t="str">
        <f t="shared" si="73"/>
        <v>PAYPAL</v>
      </c>
      <c r="V79" s="97">
        <v>2</v>
      </c>
      <c r="W79" s="90" t="s">
        <v>357</v>
      </c>
      <c r="X79" s="89">
        <f t="shared" si="74"/>
        <v>1912</v>
      </c>
      <c r="Y79" s="89"/>
      <c r="Z79" s="58">
        <f t="shared" si="75"/>
        <v>0</v>
      </c>
      <c r="AA79" s="58">
        <f t="shared" si="76"/>
        <v>130</v>
      </c>
      <c r="AB79" s="58"/>
      <c r="AC79" s="98">
        <f>(O79+T79)-AA79</f>
        <v>1282</v>
      </c>
      <c r="AD79" s="58"/>
      <c r="AE79" s="58">
        <f t="shared" si="77"/>
        <v>30</v>
      </c>
      <c r="AF79" s="58">
        <f>IF(AG79&gt;0,AG61:AG79,0)</f>
        <v>1252</v>
      </c>
      <c r="AG79" s="58">
        <f t="shared" si="78"/>
        <v>1252</v>
      </c>
      <c r="AI79">
        <f t="shared" si="79"/>
        <v>0</v>
      </c>
      <c r="AJ79">
        <f t="shared" si="80"/>
        <v>1340</v>
      </c>
      <c r="AK79">
        <f t="shared" si="81"/>
        <v>0</v>
      </c>
      <c r="AL79">
        <f t="shared" si="82"/>
        <v>0</v>
      </c>
      <c r="AM79"/>
      <c r="AN79">
        <f t="shared" si="83"/>
        <v>0</v>
      </c>
      <c r="AO79">
        <f t="shared" si="84"/>
        <v>1340</v>
      </c>
      <c r="AP79">
        <f t="shared" si="85"/>
        <v>0</v>
      </c>
      <c r="AQ79">
        <f t="shared" si="86"/>
        <v>0</v>
      </c>
    </row>
    <row r="80" spans="1:44" s="84" customFormat="1" ht="14.45" x14ac:dyDescent="0.3">
      <c r="B80" s="103" t="s">
        <v>83</v>
      </c>
      <c r="C80" s="86" t="s">
        <v>282</v>
      </c>
      <c r="D80" s="84" t="s">
        <v>43</v>
      </c>
      <c r="G80" s="84" t="s">
        <v>319</v>
      </c>
      <c r="H80" s="85">
        <v>7</v>
      </c>
      <c r="I80" s="85"/>
      <c r="J80" s="84" t="s">
        <v>192</v>
      </c>
      <c r="K80" s="84" t="s">
        <v>56</v>
      </c>
      <c r="L80" s="90">
        <v>3</v>
      </c>
      <c r="M80" s="96" t="s">
        <v>37</v>
      </c>
      <c r="O80" s="50">
        <v>0</v>
      </c>
      <c r="P80" s="58">
        <f t="shared" si="87"/>
        <v>0</v>
      </c>
      <c r="Q80" s="84">
        <f t="shared" si="88"/>
        <v>0</v>
      </c>
      <c r="S80" s="89">
        <v>2</v>
      </c>
      <c r="T80" s="89">
        <v>0</v>
      </c>
      <c r="U80" s="87" t="str">
        <f t="shared" si="73"/>
        <v>NONE</v>
      </c>
      <c r="V80" s="97"/>
      <c r="W80" s="90"/>
      <c r="X80" s="89">
        <f t="shared" ref="X80:X86" si="89">Q80+P80</f>
        <v>0</v>
      </c>
      <c r="Y80" s="89"/>
      <c r="Z80" s="58">
        <f>IF(W80=$Z$1,Q80-500,0)</f>
        <v>0</v>
      </c>
      <c r="AA80" s="58">
        <f>IF(H80&gt;0,130,0)</f>
        <v>130</v>
      </c>
      <c r="AB80" s="58"/>
      <c r="AC80" s="98">
        <f>(O80+T80)-AA80</f>
        <v>-130</v>
      </c>
      <c r="AD80" s="58"/>
      <c r="AE80" s="58">
        <f>IF(H80&gt;0,30*F80,0)</f>
        <v>0</v>
      </c>
      <c r="AF80" s="58">
        <f>IF(AG80&gt;0,AG63:AG80,0)</f>
        <v>0</v>
      </c>
      <c r="AG80" s="58">
        <f t="shared" si="78"/>
        <v>-130</v>
      </c>
      <c r="AI80">
        <f t="shared" si="79"/>
        <v>0</v>
      </c>
      <c r="AJ80">
        <f t="shared" si="80"/>
        <v>0</v>
      </c>
      <c r="AK80">
        <f t="shared" si="81"/>
        <v>0</v>
      </c>
      <c r="AL80">
        <f t="shared" si="82"/>
        <v>0</v>
      </c>
      <c r="AM80"/>
      <c r="AN80">
        <f t="shared" si="83"/>
        <v>0</v>
      </c>
      <c r="AO80">
        <f t="shared" si="84"/>
        <v>0</v>
      </c>
      <c r="AP80">
        <f t="shared" si="85"/>
        <v>0</v>
      </c>
      <c r="AQ80">
        <f t="shared" si="86"/>
        <v>0</v>
      </c>
    </row>
    <row r="81" spans="2:43" s="84" customFormat="1" ht="14.45" x14ac:dyDescent="0.3">
      <c r="B81" s="86" t="s">
        <v>391</v>
      </c>
      <c r="C81" t="s">
        <v>70</v>
      </c>
      <c r="D81" s="84" t="s">
        <v>31</v>
      </c>
      <c r="E81" s="84">
        <f>IF(D81=$B$12,H81,0)</f>
        <v>0</v>
      </c>
      <c r="F81" s="84">
        <f>IF(E81&gt;0,0,1)</f>
        <v>1</v>
      </c>
      <c r="G81" s="84" t="s">
        <v>303</v>
      </c>
      <c r="H81" s="85">
        <v>14</v>
      </c>
      <c r="I81" s="85"/>
      <c r="J81" s="84" t="s">
        <v>304</v>
      </c>
      <c r="K81" s="84" t="s">
        <v>56</v>
      </c>
      <c r="L81" s="90">
        <v>0</v>
      </c>
      <c r="M81" s="96" t="s">
        <v>37</v>
      </c>
      <c r="O81" s="107">
        <v>2541</v>
      </c>
      <c r="P81" s="58">
        <f t="shared" si="87"/>
        <v>1016</v>
      </c>
      <c r="Q81" s="84">
        <f t="shared" si="88"/>
        <v>2025</v>
      </c>
      <c r="R81" s="57" t="s">
        <v>305</v>
      </c>
      <c r="S81" s="89">
        <v>2</v>
      </c>
      <c r="T81" s="89">
        <v>0</v>
      </c>
      <c r="U81" s="87" t="str">
        <f>IF(V81=1,$AD$2,IF(V81=2,$AD$1,IF(AND(V81&lt;&gt;1,V81&lt;&gt;20)=TRUE,$AD$3)))</f>
        <v>BANK</v>
      </c>
      <c r="V81" s="97">
        <v>1</v>
      </c>
      <c r="W81" s="90" t="s">
        <v>26</v>
      </c>
      <c r="X81" s="89">
        <f t="shared" si="89"/>
        <v>3041</v>
      </c>
      <c r="Y81" s="89"/>
      <c r="Z81" s="58">
        <f>IF(W81=$Z$1,Q81-500,0)</f>
        <v>0</v>
      </c>
      <c r="AA81" s="58">
        <f>IF(H81&gt;0,130,0)</f>
        <v>130</v>
      </c>
      <c r="AB81" s="58"/>
      <c r="AC81" s="98">
        <f>(O81+T81)-AA81</f>
        <v>2411</v>
      </c>
      <c r="AD81" s="58"/>
      <c r="AE81" s="58">
        <f>IF(H81&gt;0,30*F81,0)</f>
        <v>30</v>
      </c>
      <c r="AF81" s="58">
        <f>IF(AG81&gt;0,AG65:AG81,0)</f>
        <v>2381</v>
      </c>
      <c r="AG81" s="58">
        <f t="shared" si="78"/>
        <v>2381</v>
      </c>
      <c r="AI81">
        <f t="shared" si="79"/>
        <v>0</v>
      </c>
      <c r="AJ81">
        <f t="shared" si="80"/>
        <v>2541</v>
      </c>
      <c r="AK81">
        <f t="shared" si="81"/>
        <v>0</v>
      </c>
      <c r="AL81">
        <f t="shared" si="82"/>
        <v>0</v>
      </c>
      <c r="AM81"/>
      <c r="AN81">
        <f t="shared" si="83"/>
        <v>0</v>
      </c>
      <c r="AO81">
        <f t="shared" si="84"/>
        <v>2541</v>
      </c>
      <c r="AP81">
        <f t="shared" si="85"/>
        <v>0</v>
      </c>
      <c r="AQ81">
        <f t="shared" si="86"/>
        <v>0</v>
      </c>
    </row>
    <row r="82" spans="2:43" s="84" customFormat="1" ht="14.45" x14ac:dyDescent="0.3">
      <c r="B82" s="84" t="s">
        <v>302</v>
      </c>
      <c r="C82" t="s">
        <v>300</v>
      </c>
      <c r="D82" s="84" t="s">
        <v>31</v>
      </c>
      <c r="E82" s="84">
        <f t="shared" ref="E82:E107" si="90">IF(D82=$B$12,H82,0)</f>
        <v>0</v>
      </c>
      <c r="F82" s="84">
        <f t="shared" ref="F82:F107" si="91">IF(E82&gt;0,0,1)</f>
        <v>1</v>
      </c>
      <c r="G82" s="84" t="s">
        <v>408</v>
      </c>
      <c r="H82" s="85">
        <v>14</v>
      </c>
      <c r="I82" s="85"/>
      <c r="J82" s="84" t="s">
        <v>205</v>
      </c>
      <c r="K82" s="84" t="s">
        <v>56</v>
      </c>
      <c r="L82" s="90">
        <v>0</v>
      </c>
      <c r="M82" s="96" t="s">
        <v>37</v>
      </c>
      <c r="O82" s="107">
        <v>3135</v>
      </c>
      <c r="P82" s="58">
        <f t="shared" si="87"/>
        <v>1254</v>
      </c>
      <c r="Q82" s="84">
        <f t="shared" si="88"/>
        <v>2523</v>
      </c>
      <c r="R82" s="57" t="s">
        <v>301</v>
      </c>
      <c r="S82" s="89">
        <v>2</v>
      </c>
      <c r="T82" s="89">
        <f>IF(U82=$AD$2,47,IF(U82=$AD$1,ROUND(((O82+500)*0.039),0),IF(U82=$AD$3,0)))</f>
        <v>142</v>
      </c>
      <c r="U82" s="87" t="str">
        <f>IF(V82=1,$AD$2,IF(V82=2,$AD$1,IF(AND(V82&lt;&gt;1,V82&lt;&gt;20)=TRUE,$AD$3)))</f>
        <v>PAYPAL</v>
      </c>
      <c r="V82" s="97">
        <v>2</v>
      </c>
      <c r="W82" s="90" t="s">
        <v>357</v>
      </c>
      <c r="X82" s="89">
        <f t="shared" si="89"/>
        <v>3777</v>
      </c>
      <c r="Y82" s="89"/>
      <c r="Z82" s="58">
        <f>IF(W82=$Z$1,Q82-500,0)</f>
        <v>0</v>
      </c>
      <c r="AA82" s="58">
        <f>IF(H82&gt;0,130,0)</f>
        <v>130</v>
      </c>
      <c r="AB82" s="58"/>
      <c r="AC82" s="98">
        <f>(O82+T82)-AA82</f>
        <v>3147</v>
      </c>
      <c r="AD82" s="58"/>
      <c r="AE82" s="58">
        <f>IF(H82&gt;0,30*F82,0)</f>
        <v>30</v>
      </c>
      <c r="AF82" s="58">
        <f>IF(AG82&gt;0,AG65:AG82,0)</f>
        <v>3117</v>
      </c>
      <c r="AG82" s="58">
        <f t="shared" si="78"/>
        <v>3117</v>
      </c>
      <c r="AI82">
        <f t="shared" si="79"/>
        <v>0</v>
      </c>
      <c r="AJ82">
        <f t="shared" si="80"/>
        <v>3135</v>
      </c>
      <c r="AK82">
        <f t="shared" si="81"/>
        <v>0</v>
      </c>
      <c r="AL82">
        <f t="shared" si="82"/>
        <v>0</v>
      </c>
      <c r="AM82"/>
      <c r="AN82">
        <f t="shared" si="83"/>
        <v>0</v>
      </c>
      <c r="AO82">
        <f t="shared" si="84"/>
        <v>3135</v>
      </c>
      <c r="AP82">
        <f t="shared" si="85"/>
        <v>0</v>
      </c>
      <c r="AQ82">
        <f t="shared" si="86"/>
        <v>0</v>
      </c>
    </row>
    <row r="83" spans="2:43" s="84" customFormat="1" ht="14.45" x14ac:dyDescent="0.3">
      <c r="B83" s="108" t="s">
        <v>83</v>
      </c>
      <c r="C83" s="84" t="s">
        <v>43</v>
      </c>
      <c r="D83" s="84" t="s">
        <v>43</v>
      </c>
      <c r="E83" s="84">
        <f>IF(D83=$B$12,H83,0)</f>
        <v>3</v>
      </c>
      <c r="F83" s="84">
        <f>IF(E83&gt;0,0,1)</f>
        <v>0</v>
      </c>
      <c r="G83" s="84" t="s">
        <v>401</v>
      </c>
      <c r="H83" s="85">
        <v>3</v>
      </c>
      <c r="I83" s="85"/>
      <c r="J83" s="84" t="s">
        <v>64</v>
      </c>
      <c r="K83" s="84" t="s">
        <v>56</v>
      </c>
      <c r="L83" s="90">
        <v>0</v>
      </c>
      <c r="M83" s="96" t="s">
        <v>37</v>
      </c>
      <c r="O83" s="107">
        <v>0</v>
      </c>
      <c r="P83" s="58">
        <f>ROUND((O83*0.4),0)</f>
        <v>0</v>
      </c>
      <c r="Q83" s="84">
        <f>IF(O83&gt;0,((O83+500)-P83)+T83,0)</f>
        <v>0</v>
      </c>
      <c r="R83" s="57"/>
      <c r="S83" s="89">
        <v>2</v>
      </c>
      <c r="T83" s="89">
        <f>IF(U83=$AD$2,47,IF(U83=$AD$1,ROUND(((O83+500)*0.039),0),IF(U83=$AD$3,0)))</f>
        <v>0</v>
      </c>
      <c r="U83" s="87" t="str">
        <f>IF(V83=1,$AD$2,IF(V83=2,$AD$1,IF(AND(V83&lt;&gt;1,V83&lt;&gt;20)=TRUE,$AD$3)))</f>
        <v>NONE</v>
      </c>
      <c r="V83" s="97"/>
      <c r="W83" s="90"/>
      <c r="X83" s="89">
        <f>Q83+P83</f>
        <v>0</v>
      </c>
      <c r="Y83" s="89"/>
      <c r="Z83" s="58">
        <f>IF(W83=$Z$1,Q83-500,0)</f>
        <v>0</v>
      </c>
      <c r="AA83" s="58">
        <f>IF(H83&gt;0,130,0)</f>
        <v>130</v>
      </c>
      <c r="AB83" s="58"/>
      <c r="AC83" s="98">
        <f>(O83+T83)-AA83</f>
        <v>-130</v>
      </c>
      <c r="AD83" s="58"/>
      <c r="AE83" s="58">
        <f>IF(H83&gt;0,30*F83,0)</f>
        <v>0</v>
      </c>
      <c r="AF83" s="58">
        <f>IF(AG83&gt;0,AG49:AG83,0)</f>
        <v>0</v>
      </c>
      <c r="AG83" s="58">
        <f t="shared" si="78"/>
        <v>-130</v>
      </c>
      <c r="AI83" s="84">
        <f t="shared" si="79"/>
        <v>0</v>
      </c>
      <c r="AJ83" s="84">
        <f t="shared" si="80"/>
        <v>0</v>
      </c>
      <c r="AK83" s="84">
        <f t="shared" si="81"/>
        <v>0</v>
      </c>
      <c r="AL83" s="84">
        <f t="shared" si="82"/>
        <v>0</v>
      </c>
      <c r="AN83" s="84">
        <f t="shared" si="83"/>
        <v>0</v>
      </c>
      <c r="AO83" s="84">
        <f t="shared" si="84"/>
        <v>0</v>
      </c>
      <c r="AP83" s="84">
        <f t="shared" si="85"/>
        <v>0</v>
      </c>
      <c r="AQ83" s="84">
        <f t="shared" si="86"/>
        <v>0</v>
      </c>
    </row>
    <row r="84" spans="2:43" ht="14.45" x14ac:dyDescent="0.3">
      <c r="B84" t="s">
        <v>390</v>
      </c>
      <c r="C84" t="s">
        <v>61</v>
      </c>
      <c r="D84" s="16" t="s">
        <v>62</v>
      </c>
      <c r="E84">
        <f t="shared" si="90"/>
        <v>0</v>
      </c>
      <c r="F84">
        <f t="shared" si="91"/>
        <v>1</v>
      </c>
      <c r="G84" t="s">
        <v>193</v>
      </c>
      <c r="H84" s="16">
        <v>15</v>
      </c>
      <c r="I84" s="16"/>
      <c r="J84" t="s">
        <v>255</v>
      </c>
      <c r="K84" t="s">
        <v>56</v>
      </c>
      <c r="L84" s="5">
        <v>3</v>
      </c>
      <c r="M84" s="4" t="s">
        <v>37</v>
      </c>
      <c r="O84" s="107">
        <v>2929</v>
      </c>
      <c r="P84" s="1">
        <v>500</v>
      </c>
      <c r="Q84" s="84">
        <v>1757</v>
      </c>
      <c r="R84" s="57" t="s">
        <v>254</v>
      </c>
      <c r="S84" s="89">
        <v>2</v>
      </c>
      <c r="T84" s="72">
        <f>IF(U84=$AD$2,47,IF(U84=$AD$1,ROUND(((Q84+P84)*0.039),0),IF(U84=$AD$3,0)))</f>
        <v>47</v>
      </c>
      <c r="U84" s="7" t="str">
        <f t="shared" si="73"/>
        <v>BANK</v>
      </c>
      <c r="V84" s="68">
        <v>1</v>
      </c>
      <c r="W84" s="90" t="s">
        <v>166</v>
      </c>
      <c r="X84" s="1">
        <f t="shared" si="89"/>
        <v>2257</v>
      </c>
      <c r="Y84" s="1"/>
      <c r="Z84" s="1">
        <f t="shared" si="75"/>
        <v>0</v>
      </c>
      <c r="AA84" s="1">
        <f t="shared" si="76"/>
        <v>130</v>
      </c>
      <c r="AB84" s="1"/>
      <c r="AC84">
        <f>O84-AA84</f>
        <v>2799</v>
      </c>
      <c r="AD84" s="1"/>
      <c r="AE84" s="1">
        <f t="shared" si="77"/>
        <v>30</v>
      </c>
      <c r="AF84" s="1">
        <f>IF(AG84&gt;0,AG84,0)</f>
        <v>2769</v>
      </c>
      <c r="AG84" s="1">
        <f t="shared" si="78"/>
        <v>2769</v>
      </c>
      <c r="AI84">
        <f t="shared" si="79"/>
        <v>0</v>
      </c>
      <c r="AJ84">
        <f t="shared" si="80"/>
        <v>2929</v>
      </c>
      <c r="AK84">
        <f t="shared" si="81"/>
        <v>0</v>
      </c>
      <c r="AL84">
        <f t="shared" si="82"/>
        <v>0</v>
      </c>
      <c r="AN84">
        <f t="shared" si="83"/>
        <v>0</v>
      </c>
      <c r="AO84">
        <f t="shared" si="84"/>
        <v>2929</v>
      </c>
      <c r="AP84">
        <f t="shared" si="85"/>
        <v>0</v>
      </c>
      <c r="AQ84">
        <f t="shared" si="86"/>
        <v>0</v>
      </c>
    </row>
    <row r="85" spans="2:43" s="84" customFormat="1" ht="14.45" x14ac:dyDescent="0.3">
      <c r="B85" t="s">
        <v>380</v>
      </c>
      <c r="C85" t="s">
        <v>209</v>
      </c>
      <c r="D85" s="85" t="s">
        <v>31</v>
      </c>
      <c r="E85" s="84">
        <f>IF(D85=$B$12,H85,0)</f>
        <v>0</v>
      </c>
      <c r="F85" s="84">
        <f>IF(E85&gt;0,0,1)</f>
        <v>1</v>
      </c>
      <c r="G85" s="84" t="s">
        <v>379</v>
      </c>
      <c r="H85" s="85">
        <v>8</v>
      </c>
      <c r="I85" s="85"/>
      <c r="J85" s="84" t="s">
        <v>392</v>
      </c>
      <c r="K85" s="84" t="s">
        <v>56</v>
      </c>
      <c r="L85" s="90">
        <v>0</v>
      </c>
      <c r="M85" s="4" t="s">
        <v>37</v>
      </c>
      <c r="O85" s="107">
        <v>1348</v>
      </c>
      <c r="P85" s="58">
        <f>ROUND((O85*0.4),0)</f>
        <v>539</v>
      </c>
      <c r="Q85" s="84">
        <f>IF(O85&gt;0,((O85+500)-P85)+T85,0)</f>
        <v>1381</v>
      </c>
      <c r="R85" s="57" t="s">
        <v>306</v>
      </c>
      <c r="S85" s="89">
        <v>2</v>
      </c>
      <c r="T85" s="89">
        <f>IF(U85=$AD$2,47,IF(U85=$AD$1,ROUND(((O85+500)*0.039),0),IF(U85=$AD$3,0)))</f>
        <v>72</v>
      </c>
      <c r="U85" s="87" t="str">
        <f>IF(V85=1,$AD$2,IF(V85=2,$AD$1,IF(AND(V85&lt;&gt;1,V85&lt;&gt;20)=TRUE,$AD$3)))</f>
        <v>PAYPAL</v>
      </c>
      <c r="V85" s="97">
        <v>2</v>
      </c>
      <c r="W85" s="90" t="s">
        <v>423</v>
      </c>
      <c r="X85" s="89">
        <f t="shared" si="89"/>
        <v>1920</v>
      </c>
      <c r="Y85" s="89"/>
      <c r="Z85" s="58">
        <f>IF(W85=$Z$1,Q85-500,0)</f>
        <v>0</v>
      </c>
      <c r="AA85" s="58">
        <f>IF(H85&gt;0,130,0)</f>
        <v>130</v>
      </c>
      <c r="AB85" s="58"/>
      <c r="AC85" s="98">
        <f>(O85+T85)-AA85</f>
        <v>1290</v>
      </c>
      <c r="AD85" s="58"/>
      <c r="AE85" s="58">
        <f>IF(H85&gt;0,30*F85,0)</f>
        <v>30</v>
      </c>
      <c r="AF85" s="58">
        <f>IF(AG85&gt;0,AG69:AG85,0)</f>
        <v>1260</v>
      </c>
      <c r="AG85" s="58">
        <f t="shared" si="78"/>
        <v>1260</v>
      </c>
      <c r="AI85">
        <f t="shared" si="79"/>
        <v>0</v>
      </c>
      <c r="AJ85">
        <f t="shared" si="80"/>
        <v>1348</v>
      </c>
      <c r="AK85">
        <f t="shared" si="81"/>
        <v>0</v>
      </c>
      <c r="AL85">
        <f t="shared" si="82"/>
        <v>0</v>
      </c>
      <c r="AM85"/>
      <c r="AN85">
        <f t="shared" si="83"/>
        <v>0</v>
      </c>
      <c r="AO85">
        <f t="shared" si="84"/>
        <v>1348</v>
      </c>
      <c r="AP85">
        <f t="shared" si="85"/>
        <v>0</v>
      </c>
      <c r="AQ85">
        <f t="shared" si="86"/>
        <v>0</v>
      </c>
    </row>
    <row r="86" spans="2:43" s="84" customFormat="1" ht="14.45" x14ac:dyDescent="0.3">
      <c r="B86" s="84" t="s">
        <v>366</v>
      </c>
      <c r="C86" s="84" t="s">
        <v>344</v>
      </c>
      <c r="D86" s="85" t="s">
        <v>31</v>
      </c>
      <c r="E86" s="84">
        <f>IF(D86=$B$12,H86,0)</f>
        <v>0</v>
      </c>
      <c r="F86" s="84">
        <f>IF(E86&gt;0,0,1)</f>
        <v>1</v>
      </c>
      <c r="G86" s="84" t="s">
        <v>424</v>
      </c>
      <c r="H86" s="85">
        <v>7</v>
      </c>
      <c r="I86" s="85"/>
      <c r="J86" s="85" t="s">
        <v>342</v>
      </c>
      <c r="K86" s="84" t="s">
        <v>56</v>
      </c>
      <c r="L86" s="90">
        <v>0</v>
      </c>
      <c r="M86" s="96" t="s">
        <v>37</v>
      </c>
      <c r="O86" s="107">
        <v>1498</v>
      </c>
      <c r="P86" s="58">
        <f>ROUND((O86*0.4),0)</f>
        <v>599</v>
      </c>
      <c r="Q86" s="84">
        <f>IF(O86&gt;0,((O86+500)-P86)+T86,0)</f>
        <v>1477</v>
      </c>
      <c r="R86" s="57" t="s">
        <v>343</v>
      </c>
      <c r="S86" s="89">
        <v>2</v>
      </c>
      <c r="T86" s="89">
        <f>IF(U86=$AD$2,47,IF(U86=$AD$1,ROUND(((O86+500)*0.039),0),IF(U86=$AD$3,0)))</f>
        <v>78</v>
      </c>
      <c r="U86" s="87" t="str">
        <f>IF(V86=1,$AD$2,IF(V86=2,$AD$1,IF(AND(V86&lt;&gt;1,V86&lt;&gt;20)=TRUE,$AD$3)))</f>
        <v>PAYPAL</v>
      </c>
      <c r="V86" s="97">
        <v>2</v>
      </c>
      <c r="W86" s="90" t="s">
        <v>264</v>
      </c>
      <c r="X86" s="89">
        <f t="shared" si="89"/>
        <v>2076</v>
      </c>
      <c r="Y86" s="89"/>
      <c r="Z86" s="58">
        <f>IF(W86=$Z$1,Q86-500,0)</f>
        <v>0</v>
      </c>
      <c r="AA86" s="58">
        <f>IF(H86&gt;0,130,0)</f>
        <v>130</v>
      </c>
      <c r="AB86" s="58"/>
      <c r="AC86" s="98">
        <f>(O86+T86)-AA86</f>
        <v>1446</v>
      </c>
      <c r="AD86" s="58"/>
      <c r="AE86" s="58">
        <f>IF(H86&gt;0,30*F86,0)</f>
        <v>30</v>
      </c>
      <c r="AF86" s="58">
        <f>IF(AG86&gt;0,AG54:AG86,0)</f>
        <v>1416</v>
      </c>
      <c r="AG86" s="58">
        <f t="shared" si="78"/>
        <v>1416</v>
      </c>
      <c r="AI86">
        <f t="shared" si="79"/>
        <v>0</v>
      </c>
      <c r="AJ86">
        <f t="shared" si="80"/>
        <v>1498</v>
      </c>
      <c r="AK86">
        <f t="shared" si="81"/>
        <v>0</v>
      </c>
      <c r="AL86">
        <f t="shared" si="82"/>
        <v>0</v>
      </c>
      <c r="AM86"/>
      <c r="AN86">
        <f t="shared" si="83"/>
        <v>0</v>
      </c>
      <c r="AO86">
        <f t="shared" si="84"/>
        <v>1498</v>
      </c>
      <c r="AP86">
        <f t="shared" si="85"/>
        <v>0</v>
      </c>
      <c r="AQ86">
        <f t="shared" si="86"/>
        <v>0</v>
      </c>
    </row>
    <row r="87" spans="2:43" ht="14.45" x14ac:dyDescent="0.3">
      <c r="B87" s="16" t="s">
        <v>374</v>
      </c>
      <c r="C87" t="s">
        <v>375</v>
      </c>
      <c r="D87" s="84" t="s">
        <v>376</v>
      </c>
      <c r="E87" s="84">
        <f>IF(D87=$B$12,H87,0)</f>
        <v>0</v>
      </c>
      <c r="F87" s="84">
        <f>IF(E87&gt;0,0,1)</f>
        <v>1</v>
      </c>
      <c r="G87" s="85" t="s">
        <v>377</v>
      </c>
      <c r="H87" s="85">
        <v>7</v>
      </c>
      <c r="I87" s="85"/>
      <c r="J87" s="85" t="s">
        <v>36</v>
      </c>
      <c r="K87" s="84" t="s">
        <v>56</v>
      </c>
      <c r="L87" s="90">
        <v>0</v>
      </c>
      <c r="M87" s="96" t="s">
        <v>37</v>
      </c>
      <c r="N87" s="84"/>
      <c r="O87" s="107">
        <v>1681</v>
      </c>
      <c r="P87" s="58">
        <f>ROUND((O87*0.4),0)</f>
        <v>672</v>
      </c>
      <c r="Q87" s="84">
        <f>IF(O87&gt;0,((O87+500)-P87)+T87,0)</f>
        <v>1594</v>
      </c>
      <c r="R87" s="57" t="s">
        <v>378</v>
      </c>
      <c r="S87" s="89">
        <v>3</v>
      </c>
      <c r="T87" s="89">
        <f>IF(U87=$AD$2,47,IF(U87=$AD$1,ROUND(((O87+500)*0.039),0),IF(U87=$AD$3,0)))</f>
        <v>85</v>
      </c>
      <c r="U87" s="87" t="str">
        <f>IF(V87=1,$AD$2,IF(V87=2,$AD$1,IF(AND(V87&lt;&gt;1,V87&lt;&gt;20)=TRUE,$AD$3)))</f>
        <v>PAYPAL</v>
      </c>
      <c r="V87" s="97">
        <v>2</v>
      </c>
      <c r="W87" s="90" t="s">
        <v>428</v>
      </c>
      <c r="X87" s="89">
        <f>Q87+P87</f>
        <v>2266</v>
      </c>
      <c r="Y87" s="89"/>
      <c r="Z87" s="58">
        <f>IF(W87=$Z$1,Q87-500,0)</f>
        <v>0</v>
      </c>
      <c r="AA87" s="58">
        <f>IF(H87&gt;0,130,0)</f>
        <v>130</v>
      </c>
      <c r="AB87" s="58"/>
      <c r="AC87" s="98">
        <f>(O87+T87)-AA87</f>
        <v>1636</v>
      </c>
      <c r="AD87" s="58"/>
      <c r="AE87" s="58">
        <f>IF(H87&gt;0,30*F87,0)</f>
        <v>30</v>
      </c>
      <c r="AF87" s="58">
        <f>IF(AG87&gt;0,AG53:AG87,0)</f>
        <v>1606</v>
      </c>
      <c r="AG87" s="58">
        <f t="shared" si="78"/>
        <v>1606</v>
      </c>
      <c r="AI87">
        <f t="shared" si="79"/>
        <v>0</v>
      </c>
      <c r="AJ87">
        <f t="shared" si="80"/>
        <v>0</v>
      </c>
      <c r="AK87">
        <f t="shared" si="81"/>
        <v>1681</v>
      </c>
      <c r="AL87">
        <f t="shared" si="82"/>
        <v>0</v>
      </c>
      <c r="AN87">
        <f t="shared" si="83"/>
        <v>0</v>
      </c>
      <c r="AO87">
        <f t="shared" si="84"/>
        <v>0</v>
      </c>
      <c r="AP87">
        <f t="shared" si="85"/>
        <v>1681</v>
      </c>
      <c r="AQ87">
        <f t="shared" si="86"/>
        <v>0</v>
      </c>
    </row>
    <row r="88" spans="2:43" ht="14.45" x14ac:dyDescent="0.3">
      <c r="B88" s="103" t="s">
        <v>83</v>
      </c>
      <c r="C88" s="86" t="s">
        <v>282</v>
      </c>
      <c r="D88" s="84" t="s">
        <v>43</v>
      </c>
      <c r="E88" s="84">
        <f t="shared" si="90"/>
        <v>14</v>
      </c>
      <c r="F88" s="84">
        <f t="shared" si="91"/>
        <v>0</v>
      </c>
      <c r="G88" s="84" t="s">
        <v>373</v>
      </c>
      <c r="H88" s="85">
        <v>14</v>
      </c>
      <c r="I88" s="85"/>
      <c r="J88" s="84" t="s">
        <v>64</v>
      </c>
      <c r="K88" s="84" t="s">
        <v>56</v>
      </c>
      <c r="L88" s="90">
        <v>3</v>
      </c>
      <c r="M88" s="96" t="s">
        <v>37</v>
      </c>
      <c r="N88" s="84"/>
      <c r="O88" s="107">
        <v>0</v>
      </c>
      <c r="P88" s="58">
        <f t="shared" ref="P88:P107" si="92">ROUND((O88*0.4),0)</f>
        <v>0</v>
      </c>
      <c r="Q88" s="84">
        <f t="shared" ref="Q88:Q107" si="93">IF(O88&gt;0,((O88+500)-P88)+T88,0)</f>
        <v>0</v>
      </c>
      <c r="R88" s="57"/>
      <c r="S88" s="89">
        <v>3</v>
      </c>
      <c r="T88" s="89">
        <f t="shared" ref="T88:T107" si="94">IF(U88=$AD$2,47,IF(U88=$AD$1,ROUND(((O88+500)*0.039),0),IF(U88=$AD$3,0)))</f>
        <v>0</v>
      </c>
      <c r="U88" s="87" t="str">
        <f t="shared" si="73"/>
        <v>NONE</v>
      </c>
      <c r="V88" s="97"/>
      <c r="W88" s="90"/>
      <c r="X88" s="89">
        <f t="shared" ref="X88:X107" si="95">Q88+P88</f>
        <v>0</v>
      </c>
      <c r="Y88" s="89"/>
      <c r="Z88" s="58">
        <f t="shared" si="75"/>
        <v>0</v>
      </c>
      <c r="AA88" s="58">
        <f t="shared" si="76"/>
        <v>130</v>
      </c>
      <c r="AB88" s="58"/>
      <c r="AC88" s="98">
        <f t="shared" ref="AC88:AC107" si="96">(O88+T88)-AA88</f>
        <v>-130</v>
      </c>
      <c r="AD88" s="58"/>
      <c r="AE88" s="58">
        <f t="shared" si="77"/>
        <v>0</v>
      </c>
      <c r="AF88" s="58">
        <f>IF(AG88&gt;0,AG66:AG88,0)</f>
        <v>0</v>
      </c>
      <c r="AG88" s="58">
        <f t="shared" si="78"/>
        <v>-130</v>
      </c>
      <c r="AI88">
        <f t="shared" si="79"/>
        <v>0</v>
      </c>
      <c r="AJ88">
        <f t="shared" si="80"/>
        <v>0</v>
      </c>
      <c r="AK88">
        <f t="shared" si="81"/>
        <v>0</v>
      </c>
      <c r="AL88">
        <f t="shared" si="82"/>
        <v>0</v>
      </c>
      <c r="AN88">
        <f t="shared" si="83"/>
        <v>0</v>
      </c>
      <c r="AO88">
        <f t="shared" si="84"/>
        <v>0</v>
      </c>
      <c r="AP88">
        <f t="shared" si="85"/>
        <v>0</v>
      </c>
      <c r="AQ88">
        <f t="shared" si="86"/>
        <v>0</v>
      </c>
    </row>
    <row r="89" spans="2:43" s="84" customFormat="1" ht="14.45" x14ac:dyDescent="0.3">
      <c r="B89" s="102" t="s">
        <v>291</v>
      </c>
      <c r="C89" t="s">
        <v>292</v>
      </c>
      <c r="D89" s="85" t="s">
        <v>31</v>
      </c>
      <c r="E89" s="84">
        <f t="shared" si="90"/>
        <v>0</v>
      </c>
      <c r="F89" s="84">
        <f t="shared" si="91"/>
        <v>1</v>
      </c>
      <c r="G89" s="85" t="s">
        <v>293</v>
      </c>
      <c r="H89" s="85">
        <v>14</v>
      </c>
      <c r="I89" s="85"/>
      <c r="J89" s="85" t="s">
        <v>81</v>
      </c>
      <c r="K89" s="84" t="s">
        <v>56</v>
      </c>
      <c r="L89" s="90">
        <v>0</v>
      </c>
      <c r="M89" s="96" t="s">
        <v>37</v>
      </c>
      <c r="O89" s="107">
        <v>2757</v>
      </c>
      <c r="P89" s="58">
        <f t="shared" si="92"/>
        <v>1103</v>
      </c>
      <c r="Q89" s="84">
        <f t="shared" si="93"/>
        <v>2281</v>
      </c>
      <c r="R89" s="57" t="s">
        <v>294</v>
      </c>
      <c r="S89" s="89">
        <v>3</v>
      </c>
      <c r="T89" s="89">
        <f t="shared" si="94"/>
        <v>127</v>
      </c>
      <c r="U89" s="87" t="str">
        <f t="shared" si="73"/>
        <v>PAYPAL</v>
      </c>
      <c r="V89" s="97">
        <v>2</v>
      </c>
      <c r="W89" s="90" t="s">
        <v>454</v>
      </c>
      <c r="X89" s="89">
        <f t="shared" si="95"/>
        <v>3384</v>
      </c>
      <c r="Y89" s="89"/>
      <c r="Z89" s="58">
        <f t="shared" si="75"/>
        <v>0</v>
      </c>
      <c r="AA89" s="58">
        <f t="shared" si="76"/>
        <v>130</v>
      </c>
      <c r="AB89" s="58"/>
      <c r="AC89" s="98">
        <f t="shared" si="96"/>
        <v>2754</v>
      </c>
      <c r="AD89" s="58"/>
      <c r="AE89" s="58">
        <f t="shared" si="77"/>
        <v>30</v>
      </c>
      <c r="AF89" s="58">
        <f>IF(AG89&gt;0,AG66:AG89,0)</f>
        <v>2724</v>
      </c>
      <c r="AG89" s="58">
        <f t="shared" si="78"/>
        <v>2724</v>
      </c>
      <c r="AI89">
        <f t="shared" si="79"/>
        <v>0</v>
      </c>
      <c r="AJ89">
        <f t="shared" si="80"/>
        <v>0</v>
      </c>
      <c r="AK89">
        <f t="shared" si="81"/>
        <v>2757</v>
      </c>
      <c r="AL89">
        <f t="shared" si="82"/>
        <v>0</v>
      </c>
      <c r="AM89"/>
      <c r="AN89">
        <f t="shared" si="83"/>
        <v>0</v>
      </c>
      <c r="AO89">
        <f t="shared" si="84"/>
        <v>0</v>
      </c>
      <c r="AP89">
        <f t="shared" si="85"/>
        <v>2757</v>
      </c>
      <c r="AQ89">
        <f t="shared" si="86"/>
        <v>0</v>
      </c>
    </row>
    <row r="90" spans="2:43" s="84" customFormat="1" ht="14.45" x14ac:dyDescent="0.3">
      <c r="B90" s="112" t="s">
        <v>320</v>
      </c>
      <c r="C90" s="112" t="s">
        <v>326</v>
      </c>
      <c r="D90" s="85" t="s">
        <v>31</v>
      </c>
      <c r="E90" s="84">
        <f t="shared" ref="E90:E95" si="97">IF(D90=$B$12,H90,0)</f>
        <v>0</v>
      </c>
      <c r="F90" s="84">
        <f t="shared" ref="F90:F95" si="98">IF(E90&gt;0,0,1)</f>
        <v>1</v>
      </c>
      <c r="G90" s="85" t="s">
        <v>325</v>
      </c>
      <c r="H90" s="85">
        <v>21</v>
      </c>
      <c r="I90" s="85"/>
      <c r="J90" s="84" t="s">
        <v>188</v>
      </c>
      <c r="K90" s="84" t="s">
        <v>56</v>
      </c>
      <c r="L90" s="90">
        <v>0</v>
      </c>
      <c r="M90" s="96" t="s">
        <v>37</v>
      </c>
      <c r="O90" s="107">
        <f>2940+110+47</f>
        <v>3097</v>
      </c>
      <c r="P90" s="113">
        <f t="shared" ref="P90:P94" si="99">ROUND((O90*0.4),0)</f>
        <v>1239</v>
      </c>
      <c r="Q90" s="84">
        <f>IF(O90&gt;0,((O90+500)-P90)+T90,0)</f>
        <v>2498</v>
      </c>
      <c r="R90" s="57" t="s">
        <v>321</v>
      </c>
      <c r="S90" s="89">
        <v>3</v>
      </c>
      <c r="T90" s="89">
        <f t="shared" ref="T90:T95" si="100">IF(U90=$AD$2,47,IF(U90=$AD$1,ROUND(((O90+500)*0.039),0),IF(U90=$AD$3,0)))</f>
        <v>140</v>
      </c>
      <c r="U90" s="87" t="str">
        <f t="shared" ref="U90:U100" si="101">IF(V90=1,$AD$2,IF(V90=2,$AD$1,IF(AND(V90&lt;&gt;1,V90&lt;&gt;20)=TRUE,$AD$3)))</f>
        <v>PAYPAL</v>
      </c>
      <c r="V90" s="97">
        <v>2</v>
      </c>
      <c r="W90" s="90" t="s">
        <v>467</v>
      </c>
      <c r="X90" s="89">
        <f t="shared" ref="X90:X95" si="102">Q90+P90</f>
        <v>3737</v>
      </c>
      <c r="Y90" s="89"/>
      <c r="Z90" s="58">
        <f t="shared" ref="Z90:Z100" si="103">IF(W90=$Z$1,Q90-500,0)</f>
        <v>0</v>
      </c>
      <c r="AA90" s="58">
        <f t="shared" ref="AA90:AA100" si="104">IF(H90&gt;0,130,0)</f>
        <v>130</v>
      </c>
      <c r="AB90" s="58"/>
      <c r="AC90" s="98">
        <f t="shared" ref="AC90:AC95" si="105">(O90+T90)-AA90</f>
        <v>3107</v>
      </c>
      <c r="AD90" s="58"/>
      <c r="AE90" s="58">
        <f t="shared" ref="AE90:AE100" si="106">IF(H90&gt;0,30*F90,0)</f>
        <v>30</v>
      </c>
      <c r="AF90" s="58">
        <f>IF(AG90&gt;0,AG55:AG90,0)</f>
        <v>3077</v>
      </c>
      <c r="AG90" s="58">
        <f t="shared" si="78"/>
        <v>3077</v>
      </c>
      <c r="AI90">
        <f t="shared" si="79"/>
        <v>0</v>
      </c>
      <c r="AJ90">
        <f t="shared" si="80"/>
        <v>0</v>
      </c>
      <c r="AK90">
        <f t="shared" si="81"/>
        <v>3097</v>
      </c>
      <c r="AL90">
        <f t="shared" si="82"/>
        <v>0</v>
      </c>
      <c r="AM90"/>
      <c r="AN90">
        <f t="shared" si="83"/>
        <v>0</v>
      </c>
      <c r="AO90">
        <f t="shared" si="84"/>
        <v>0</v>
      </c>
      <c r="AP90">
        <f t="shared" si="85"/>
        <v>3097</v>
      </c>
      <c r="AQ90">
        <f t="shared" si="86"/>
        <v>0</v>
      </c>
    </row>
    <row r="91" spans="2:43" s="84" customFormat="1" ht="14.45" x14ac:dyDescent="0.3">
      <c r="B91" s="112" t="s">
        <v>339</v>
      </c>
      <c r="C91" t="s">
        <v>330</v>
      </c>
      <c r="D91" s="85" t="s">
        <v>31</v>
      </c>
      <c r="E91" s="84">
        <f t="shared" si="97"/>
        <v>0</v>
      </c>
      <c r="F91" s="84">
        <f t="shared" si="98"/>
        <v>1</v>
      </c>
      <c r="G91" s="84" t="s">
        <v>340</v>
      </c>
      <c r="H91" s="115">
        <v>13</v>
      </c>
      <c r="I91" s="115"/>
      <c r="J91" s="85" t="s">
        <v>331</v>
      </c>
      <c r="K91" s="84" t="s">
        <v>56</v>
      </c>
      <c r="L91" s="90">
        <v>0</v>
      </c>
      <c r="M91" s="96" t="s">
        <v>37</v>
      </c>
      <c r="O91" s="107">
        <v>2573</v>
      </c>
      <c r="P91" s="58">
        <f t="shared" si="99"/>
        <v>1029</v>
      </c>
      <c r="Q91" s="115">
        <f>2164-184</f>
        <v>1980</v>
      </c>
      <c r="R91" s="57" t="s">
        <v>332</v>
      </c>
      <c r="S91" s="89">
        <v>3</v>
      </c>
      <c r="T91" s="89">
        <f t="shared" si="100"/>
        <v>120</v>
      </c>
      <c r="U91" s="87" t="str">
        <f t="shared" si="101"/>
        <v>PAYPAL</v>
      </c>
      <c r="V91" s="97">
        <v>2</v>
      </c>
      <c r="W91" s="90" t="s">
        <v>264</v>
      </c>
      <c r="X91" s="89">
        <f t="shared" si="102"/>
        <v>3009</v>
      </c>
      <c r="Y91" s="89"/>
      <c r="Z91" s="58">
        <f t="shared" si="103"/>
        <v>0</v>
      </c>
      <c r="AA91" s="58">
        <f t="shared" si="104"/>
        <v>130</v>
      </c>
      <c r="AB91" s="58"/>
      <c r="AC91" s="98">
        <f t="shared" si="105"/>
        <v>2563</v>
      </c>
      <c r="AD91" s="58"/>
      <c r="AE91" s="58">
        <f t="shared" si="106"/>
        <v>30</v>
      </c>
      <c r="AF91" s="58">
        <f>IF(AG91&gt;0,AG56:AG91,0)</f>
        <v>2533</v>
      </c>
      <c r="AG91" s="58">
        <f t="shared" si="78"/>
        <v>2533</v>
      </c>
      <c r="AI91">
        <f t="shared" si="79"/>
        <v>0</v>
      </c>
      <c r="AJ91">
        <f t="shared" si="80"/>
        <v>0</v>
      </c>
      <c r="AK91">
        <f t="shared" si="81"/>
        <v>2573</v>
      </c>
      <c r="AL91">
        <f t="shared" si="82"/>
        <v>0</v>
      </c>
      <c r="AM91"/>
      <c r="AN91">
        <f t="shared" si="83"/>
        <v>0</v>
      </c>
      <c r="AO91">
        <f t="shared" si="84"/>
        <v>0</v>
      </c>
      <c r="AP91">
        <f t="shared" si="85"/>
        <v>2573</v>
      </c>
      <c r="AQ91">
        <f t="shared" si="86"/>
        <v>0</v>
      </c>
    </row>
    <row r="92" spans="2:43" s="84" customFormat="1" ht="14.45" x14ac:dyDescent="0.3">
      <c r="B92" s="106" t="s">
        <v>311</v>
      </c>
      <c r="C92" t="s">
        <v>312</v>
      </c>
      <c r="D92" s="85" t="s">
        <v>62</v>
      </c>
      <c r="E92" s="84">
        <f t="shared" si="97"/>
        <v>0</v>
      </c>
      <c r="F92" s="84">
        <f t="shared" si="98"/>
        <v>1</v>
      </c>
      <c r="G92" s="85" t="s">
        <v>313</v>
      </c>
      <c r="H92" s="85">
        <v>13</v>
      </c>
      <c r="I92" s="85"/>
      <c r="J92" s="85" t="s">
        <v>104</v>
      </c>
      <c r="K92" s="84" t="s">
        <v>56</v>
      </c>
      <c r="L92" s="90">
        <v>0</v>
      </c>
      <c r="M92" s="96" t="s">
        <v>37</v>
      </c>
      <c r="O92" s="107">
        <v>2369</v>
      </c>
      <c r="P92" s="58">
        <f t="shared" si="99"/>
        <v>948</v>
      </c>
      <c r="Q92" s="84">
        <f>IF(O92&gt;0,((O92+500)-P92)+T92,0)</f>
        <v>2033</v>
      </c>
      <c r="R92" s="57" t="s">
        <v>314</v>
      </c>
      <c r="S92" s="89">
        <v>3</v>
      </c>
      <c r="T92" s="89">
        <f t="shared" si="100"/>
        <v>112</v>
      </c>
      <c r="U92" s="87" t="str">
        <f t="shared" si="101"/>
        <v>PAYPAL</v>
      </c>
      <c r="V92" s="97">
        <v>2</v>
      </c>
      <c r="W92" s="90" t="s">
        <v>473</v>
      </c>
      <c r="X92" s="89">
        <f t="shared" si="102"/>
        <v>2981</v>
      </c>
      <c r="Y92" s="89"/>
      <c r="Z92" s="58">
        <f t="shared" si="103"/>
        <v>0</v>
      </c>
      <c r="AA92" s="58">
        <f t="shared" si="104"/>
        <v>130</v>
      </c>
      <c r="AB92" s="58"/>
      <c r="AC92" s="98">
        <f t="shared" si="105"/>
        <v>2351</v>
      </c>
      <c r="AD92" s="58"/>
      <c r="AE92" s="58">
        <f t="shared" si="106"/>
        <v>30</v>
      </c>
      <c r="AF92" s="58">
        <f>IF(AG92&gt;0,AG55:AG92,0)</f>
        <v>2321</v>
      </c>
      <c r="AG92" s="58">
        <f t="shared" si="78"/>
        <v>2321</v>
      </c>
      <c r="AI92">
        <f t="shared" si="79"/>
        <v>0</v>
      </c>
      <c r="AJ92">
        <f t="shared" si="80"/>
        <v>0</v>
      </c>
      <c r="AK92">
        <f t="shared" si="81"/>
        <v>2369</v>
      </c>
      <c r="AL92">
        <f t="shared" si="82"/>
        <v>0</v>
      </c>
      <c r="AM92"/>
      <c r="AN92">
        <f t="shared" si="83"/>
        <v>0</v>
      </c>
      <c r="AO92">
        <f t="shared" si="84"/>
        <v>0</v>
      </c>
      <c r="AP92">
        <f t="shared" si="85"/>
        <v>2369</v>
      </c>
      <c r="AQ92">
        <f t="shared" si="86"/>
        <v>0</v>
      </c>
    </row>
    <row r="93" spans="2:43" ht="14.45" x14ac:dyDescent="0.3">
      <c r="B93" s="103" t="s">
        <v>83</v>
      </c>
      <c r="C93" s="86" t="s">
        <v>43</v>
      </c>
      <c r="D93" s="85" t="s">
        <v>43</v>
      </c>
      <c r="E93" s="84">
        <f t="shared" si="97"/>
        <v>2</v>
      </c>
      <c r="F93" s="84">
        <f t="shared" si="98"/>
        <v>0</v>
      </c>
      <c r="G93" s="85" t="s">
        <v>430</v>
      </c>
      <c r="H93" s="85">
        <v>2</v>
      </c>
      <c r="I93" s="85"/>
      <c r="J93" s="84" t="s">
        <v>64</v>
      </c>
      <c r="K93" s="84" t="s">
        <v>56</v>
      </c>
      <c r="L93" s="90">
        <v>3</v>
      </c>
      <c r="M93" s="96" t="s">
        <v>37</v>
      </c>
      <c r="N93" s="84"/>
      <c r="O93" s="107">
        <v>0</v>
      </c>
      <c r="P93" s="58">
        <f t="shared" si="99"/>
        <v>0</v>
      </c>
      <c r="Q93" s="84">
        <f>IF(O93&gt;0,((O93+500)-P93)+T93,0)</f>
        <v>0</v>
      </c>
      <c r="R93" s="57"/>
      <c r="S93" s="89"/>
      <c r="T93" s="89">
        <f t="shared" si="100"/>
        <v>0</v>
      </c>
      <c r="U93" s="87" t="str">
        <f>IF(V93=1,$AD$2,IF(V93=2,$AD$1,IF(AND(V93&lt;&gt;1,V93&lt;&gt;20)=TRUE,$AD$3)))</f>
        <v>NONE</v>
      </c>
      <c r="V93" s="97"/>
      <c r="W93" s="90"/>
      <c r="X93" s="89">
        <f t="shared" si="102"/>
        <v>0</v>
      </c>
      <c r="Y93" s="89"/>
      <c r="Z93" s="58">
        <f>IF(W93=$Z$1,Q93-500,0)</f>
        <v>0</v>
      </c>
      <c r="AA93" s="58">
        <f>IF(H93&gt;0,130,0)</f>
        <v>130</v>
      </c>
      <c r="AB93" s="58"/>
      <c r="AC93" s="98">
        <f t="shared" si="105"/>
        <v>-130</v>
      </c>
      <c r="AD93" s="58"/>
      <c r="AE93" s="58">
        <f>IF(H93&gt;0,30*F93,0)</f>
        <v>0</v>
      </c>
      <c r="AF93" s="58">
        <f>IF(AG93&gt;0,AG47:AG93,0)</f>
        <v>0</v>
      </c>
      <c r="AG93" s="58">
        <f>AC93-AE93</f>
        <v>-130</v>
      </c>
      <c r="AI93">
        <f t="shared" si="79"/>
        <v>0</v>
      </c>
      <c r="AJ93">
        <f t="shared" si="80"/>
        <v>0</v>
      </c>
      <c r="AK93">
        <f t="shared" si="81"/>
        <v>0</v>
      </c>
      <c r="AL93">
        <f t="shared" si="82"/>
        <v>0</v>
      </c>
      <c r="AN93">
        <f t="shared" si="83"/>
        <v>0</v>
      </c>
      <c r="AO93">
        <f t="shared" si="84"/>
        <v>0</v>
      </c>
      <c r="AP93">
        <f t="shared" si="85"/>
        <v>0</v>
      </c>
      <c r="AQ93">
        <f t="shared" si="86"/>
        <v>0</v>
      </c>
    </row>
    <row r="94" spans="2:43" s="84" customFormat="1" ht="14.45" x14ac:dyDescent="0.3">
      <c r="B94" s="147" t="s">
        <v>381</v>
      </c>
      <c r="C94" s="147" t="s">
        <v>387</v>
      </c>
      <c r="D94" s="85" t="s">
        <v>62</v>
      </c>
      <c r="E94" s="84">
        <f t="shared" si="97"/>
        <v>0</v>
      </c>
      <c r="F94" s="84">
        <f t="shared" si="98"/>
        <v>1</v>
      </c>
      <c r="G94" s="85" t="s">
        <v>382</v>
      </c>
      <c r="H94" s="85">
        <v>7</v>
      </c>
      <c r="I94" s="85"/>
      <c r="J94" s="84" t="s">
        <v>407</v>
      </c>
      <c r="K94" s="84" t="s">
        <v>56</v>
      </c>
      <c r="L94" s="90">
        <v>0</v>
      </c>
      <c r="M94" s="96" t="s">
        <v>37</v>
      </c>
      <c r="O94" s="107">
        <v>1498</v>
      </c>
      <c r="P94" s="58">
        <f t="shared" si="99"/>
        <v>599</v>
      </c>
      <c r="Q94" s="84">
        <f>IF(O94&gt;0,((O94+500)-P94)+T94,0)</f>
        <v>1477</v>
      </c>
      <c r="R94" s="57" t="s">
        <v>383</v>
      </c>
      <c r="S94" s="89">
        <v>3</v>
      </c>
      <c r="T94" s="89">
        <f t="shared" si="100"/>
        <v>78</v>
      </c>
      <c r="U94" s="87" t="str">
        <f>IF(V94=1,$AD$2,IF(V94=2,$AD$1,IF(AND(V94&lt;&gt;1,V94&lt;&gt;20)=TRUE,$AD$3)))</f>
        <v>PAYPAL</v>
      </c>
      <c r="V94" s="97">
        <v>2</v>
      </c>
      <c r="W94" s="90" t="s">
        <v>357</v>
      </c>
      <c r="X94" s="89">
        <f t="shared" si="102"/>
        <v>2076</v>
      </c>
      <c r="Y94" s="89"/>
      <c r="Z94" s="58">
        <f>IF(W94=$Z$1,Q94-500,0)</f>
        <v>0</v>
      </c>
      <c r="AA94" s="58">
        <f>IF(H94&gt;0,130,0)</f>
        <v>130</v>
      </c>
      <c r="AB94" s="58"/>
      <c r="AC94" s="98">
        <f t="shared" si="105"/>
        <v>1446</v>
      </c>
      <c r="AD94" s="58"/>
      <c r="AE94" s="58">
        <f>IF(H94&gt;0,30*F94,0)</f>
        <v>30</v>
      </c>
      <c r="AF94" s="58">
        <f>IF(AG94&gt;0,AG94,0)</f>
        <v>1416</v>
      </c>
      <c r="AG94" s="58">
        <f t="shared" si="78"/>
        <v>1416</v>
      </c>
      <c r="AI94" s="84">
        <f>IF(S94=1,O94,0)</f>
        <v>0</v>
      </c>
      <c r="AJ94" s="84">
        <f>IF(S94=2,O94,0)</f>
        <v>0</v>
      </c>
      <c r="AK94" s="84">
        <f>IF(S94=3,O94,0)</f>
        <v>1498</v>
      </c>
      <c r="AL94" s="84">
        <f>IF(S94=4,O94,0)</f>
        <v>0</v>
      </c>
      <c r="AN94" s="84">
        <f>IF(S94=1,O94,0)</f>
        <v>0</v>
      </c>
      <c r="AO94" s="84">
        <f>IF(S94=2,O94,0)</f>
        <v>0</v>
      </c>
      <c r="AP94" s="84">
        <f>IF(S94=3,O94,0)</f>
        <v>1498</v>
      </c>
      <c r="AQ94" s="84">
        <f>IF(S94=4,O94,0)</f>
        <v>0</v>
      </c>
    </row>
    <row r="95" spans="2:43" ht="15.6" x14ac:dyDescent="0.3">
      <c r="B95" s="171" t="s">
        <v>452</v>
      </c>
      <c r="C95" t="s">
        <v>453</v>
      </c>
      <c r="D95" s="85" t="s">
        <v>376</v>
      </c>
      <c r="E95" s="84">
        <f t="shared" si="97"/>
        <v>0</v>
      </c>
      <c r="F95" s="84">
        <f t="shared" si="98"/>
        <v>1</v>
      </c>
      <c r="G95" s="84" t="s">
        <v>472</v>
      </c>
      <c r="H95" s="85">
        <v>7</v>
      </c>
      <c r="I95" s="85"/>
      <c r="J95" s="84" t="s">
        <v>104</v>
      </c>
      <c r="K95" s="84" t="s">
        <v>56</v>
      </c>
      <c r="L95" s="90">
        <v>0</v>
      </c>
      <c r="M95" s="96" t="s">
        <v>37</v>
      </c>
      <c r="N95" s="84"/>
      <c r="O95" s="107">
        <v>1075</v>
      </c>
      <c r="P95" s="58">
        <v>0</v>
      </c>
      <c r="Q95" s="84">
        <f>IF(O95&gt;0,((O95+500)-P95)+T95,0)</f>
        <v>1636</v>
      </c>
      <c r="R95" s="57" t="s">
        <v>160</v>
      </c>
      <c r="S95" s="89">
        <v>3</v>
      </c>
      <c r="T95" s="89">
        <f t="shared" si="100"/>
        <v>61</v>
      </c>
      <c r="U95" s="87" t="str">
        <f t="shared" si="101"/>
        <v>PAYPAL</v>
      </c>
      <c r="V95" s="97">
        <v>2</v>
      </c>
      <c r="W95" s="90" t="s">
        <v>481</v>
      </c>
      <c r="X95" s="89">
        <f t="shared" si="102"/>
        <v>1636</v>
      </c>
      <c r="Y95" s="89"/>
      <c r="Z95" s="58">
        <f>IF(W95=$Z$1,Q95-500,0)</f>
        <v>0</v>
      </c>
      <c r="AA95" s="58">
        <f>IF(H95&gt;0,130,0)</f>
        <v>130</v>
      </c>
      <c r="AB95" s="58"/>
      <c r="AC95" s="98">
        <f t="shared" si="105"/>
        <v>1006</v>
      </c>
      <c r="AD95" s="58"/>
      <c r="AE95" s="58">
        <f>IF(H95&gt;0,30*F95,0)</f>
        <v>30</v>
      </c>
      <c r="AF95" s="58"/>
      <c r="AG95" s="58">
        <f t="shared" si="78"/>
        <v>976</v>
      </c>
      <c r="AI95" s="84">
        <f>IF(S95=1,O95,0)</f>
        <v>0</v>
      </c>
      <c r="AJ95" s="84">
        <f>IF(S95=2,O95,0)</f>
        <v>0</v>
      </c>
      <c r="AK95" s="84">
        <f>IF(S95=3,O95,0)</f>
        <v>1075</v>
      </c>
      <c r="AL95" s="84">
        <f>IF(S95=4,O95,0)</f>
        <v>0</v>
      </c>
      <c r="AN95" s="84">
        <f>IF(S95=1,O95,0)</f>
        <v>0</v>
      </c>
      <c r="AO95" s="84">
        <f>IF(S95=2,O95,0)</f>
        <v>0</v>
      </c>
      <c r="AP95" s="84">
        <f>IF(S95=3,O95,0)</f>
        <v>1075</v>
      </c>
      <c r="AQ95" s="84">
        <f>IF(S95=4,O95,0)</f>
        <v>0</v>
      </c>
    </row>
    <row r="96" spans="2:43" s="84" customFormat="1" ht="15.75" customHeight="1" x14ac:dyDescent="0.3">
      <c r="B96" s="103" t="s">
        <v>83</v>
      </c>
      <c r="C96" s="86" t="s">
        <v>43</v>
      </c>
      <c r="D96" s="84" t="s">
        <v>43</v>
      </c>
      <c r="E96" s="84">
        <f t="shared" si="90"/>
        <v>3</v>
      </c>
      <c r="F96" s="84">
        <f t="shared" si="91"/>
        <v>0</v>
      </c>
      <c r="G96" s="175" t="s">
        <v>441</v>
      </c>
      <c r="H96" s="85">
        <v>3</v>
      </c>
      <c r="I96" s="85"/>
      <c r="J96" s="84" t="s">
        <v>64</v>
      </c>
      <c r="K96" s="84" t="s">
        <v>56</v>
      </c>
      <c r="L96" s="90">
        <v>3</v>
      </c>
      <c r="M96" s="96" t="s">
        <v>37</v>
      </c>
      <c r="O96" s="107">
        <v>0</v>
      </c>
      <c r="P96" s="58">
        <f t="shared" si="92"/>
        <v>0</v>
      </c>
      <c r="Q96" s="84">
        <f t="shared" si="93"/>
        <v>0</v>
      </c>
      <c r="R96" s="57"/>
      <c r="S96" s="89">
        <v>4</v>
      </c>
      <c r="T96" s="89">
        <f t="shared" si="94"/>
        <v>0</v>
      </c>
      <c r="U96" s="87" t="str">
        <f t="shared" si="101"/>
        <v>NONE</v>
      </c>
      <c r="V96" s="97"/>
      <c r="W96" s="90"/>
      <c r="X96" s="89">
        <f t="shared" si="95"/>
        <v>0</v>
      </c>
      <c r="Y96" s="89"/>
      <c r="Z96" s="58">
        <f t="shared" si="103"/>
        <v>0</v>
      </c>
      <c r="AA96" s="58">
        <f t="shared" si="104"/>
        <v>130</v>
      </c>
      <c r="AB96" s="58"/>
      <c r="AC96" s="98">
        <f t="shared" si="96"/>
        <v>-130</v>
      </c>
      <c r="AD96" s="58"/>
      <c r="AE96" s="58">
        <f t="shared" si="106"/>
        <v>0</v>
      </c>
      <c r="AF96" s="58">
        <f>IF(AG96&gt;0,AG71:AG106,0)</f>
        <v>0</v>
      </c>
      <c r="AG96" s="58">
        <f t="shared" si="78"/>
        <v>-130</v>
      </c>
      <c r="AI96">
        <f t="shared" si="79"/>
        <v>0</v>
      </c>
      <c r="AJ96">
        <f t="shared" si="80"/>
        <v>0</v>
      </c>
      <c r="AK96">
        <f t="shared" si="81"/>
        <v>0</v>
      </c>
      <c r="AL96">
        <f t="shared" si="82"/>
        <v>0</v>
      </c>
      <c r="AM96"/>
      <c r="AN96">
        <f t="shared" si="83"/>
        <v>0</v>
      </c>
      <c r="AO96">
        <f t="shared" si="84"/>
        <v>0</v>
      </c>
      <c r="AP96">
        <f t="shared" si="85"/>
        <v>0</v>
      </c>
      <c r="AQ96">
        <f t="shared" si="86"/>
        <v>0</v>
      </c>
    </row>
    <row r="97" spans="1:44" ht="14.45" x14ac:dyDescent="0.3">
      <c r="B97" s="148" t="s">
        <v>398</v>
      </c>
      <c r="C97" s="148" t="s">
        <v>399</v>
      </c>
      <c r="D97" s="148" t="s">
        <v>31</v>
      </c>
      <c r="E97" s="148">
        <f>IF(D97=$B$12,H97,0)</f>
        <v>0</v>
      </c>
      <c r="F97" s="148">
        <f>IF(E97&gt;0,0,1)</f>
        <v>1</v>
      </c>
      <c r="G97" s="148" t="s">
        <v>395</v>
      </c>
      <c r="H97" s="148">
        <v>9</v>
      </c>
      <c r="I97" s="148"/>
      <c r="J97" s="148" t="s">
        <v>396</v>
      </c>
      <c r="K97" s="148" t="s">
        <v>56</v>
      </c>
      <c r="L97" s="109">
        <v>0</v>
      </c>
      <c r="M97" s="96" t="s">
        <v>400</v>
      </c>
      <c r="N97" s="148"/>
      <c r="O97" s="162">
        <v>2188</v>
      </c>
      <c r="P97" s="156">
        <f>ROUND((O97*0.4),0)</f>
        <v>875</v>
      </c>
      <c r="Q97" s="148">
        <f>IF(O97&gt;0,((O97+500)-P97)+T97,0)</f>
        <v>1918</v>
      </c>
      <c r="R97" s="170" t="s">
        <v>397</v>
      </c>
      <c r="S97" s="157">
        <v>4</v>
      </c>
      <c r="T97" s="157">
        <f>IF(U97=$AD$2,47,IF(U97=$AD$1,ROUND(((O97+500)*0.039),0),IF(U97=$AD$3,0)))</f>
        <v>105</v>
      </c>
      <c r="U97" s="160" t="str">
        <f>IF(V97=1,$AD$2,IF(V97=2,$AD$1,IF(AND(V97&lt;&gt;1,V97&lt;&gt;20)=TRUE,$AD$3)))</f>
        <v>PAYPAL</v>
      </c>
      <c r="V97" s="158">
        <v>2</v>
      </c>
      <c r="W97" s="109" t="s">
        <v>357</v>
      </c>
      <c r="X97" s="157">
        <f>Q97+P97</f>
        <v>2793</v>
      </c>
      <c r="Y97" s="157"/>
      <c r="Z97" s="156">
        <f>IF(W97=$Z$1,Q97-500,0)</f>
        <v>0</v>
      </c>
      <c r="AA97" s="156">
        <f>IF(H97&gt;0,130,0)</f>
        <v>130</v>
      </c>
      <c r="AB97" s="156"/>
      <c r="AC97" s="159">
        <f>(O97+T97)-AA97</f>
        <v>2163</v>
      </c>
      <c r="AD97" s="156"/>
      <c r="AE97" s="156">
        <f>IF(H97&gt;0,30*F97,0)</f>
        <v>30</v>
      </c>
      <c r="AF97" s="156">
        <f>IF(AG97&gt;0,AG51:AG97,0)</f>
        <v>2133</v>
      </c>
      <c r="AG97" s="156">
        <f t="shared" si="78"/>
        <v>2133</v>
      </c>
      <c r="AI97">
        <f t="shared" si="79"/>
        <v>0</v>
      </c>
      <c r="AJ97">
        <f t="shared" si="80"/>
        <v>0</v>
      </c>
      <c r="AK97">
        <f t="shared" si="81"/>
        <v>0</v>
      </c>
      <c r="AL97">
        <f t="shared" si="82"/>
        <v>2188</v>
      </c>
      <c r="AN97">
        <f t="shared" si="83"/>
        <v>0</v>
      </c>
      <c r="AO97">
        <f t="shared" si="84"/>
        <v>0</v>
      </c>
      <c r="AP97">
        <f t="shared" si="85"/>
        <v>0</v>
      </c>
      <c r="AQ97">
        <f t="shared" si="86"/>
        <v>2188</v>
      </c>
    </row>
    <row r="98" spans="1:44" s="84" customFormat="1" ht="14.45" x14ac:dyDescent="0.3">
      <c r="B98" s="111" t="s">
        <v>322</v>
      </c>
      <c r="C98" s="84" t="s">
        <v>338</v>
      </c>
      <c r="D98" s="84" t="s">
        <v>31</v>
      </c>
      <c r="E98" s="84">
        <f>IF(D98=$B$12,H98,0)</f>
        <v>0</v>
      </c>
      <c r="F98" s="84">
        <f>IF(E98&gt;0,0,1)</f>
        <v>1</v>
      </c>
      <c r="G98" s="84" t="s">
        <v>323</v>
      </c>
      <c r="H98" s="85">
        <v>8</v>
      </c>
      <c r="I98" s="85"/>
      <c r="J98" s="84" t="s">
        <v>64</v>
      </c>
      <c r="K98" s="84" t="s">
        <v>56</v>
      </c>
      <c r="L98" s="90">
        <v>0</v>
      </c>
      <c r="M98" s="96" t="s">
        <v>37</v>
      </c>
      <c r="O98" s="107">
        <v>1532</v>
      </c>
      <c r="P98" s="58">
        <f>ROUND((O98*0.4),0)</f>
        <v>613</v>
      </c>
      <c r="Q98" s="84">
        <f>IF(O98&gt;0,((O98+500)-P98)+T98,0)</f>
        <v>1498</v>
      </c>
      <c r="R98" s="57" t="s">
        <v>324</v>
      </c>
      <c r="S98" s="89">
        <v>4</v>
      </c>
      <c r="T98" s="89">
        <f>IF(U98=$AD$2,47,IF(U98=$AD$1,ROUND(((O98+500)*0.039),0),IF(U98=$AD$3,0)))</f>
        <v>79</v>
      </c>
      <c r="U98" s="87" t="str">
        <f t="shared" si="101"/>
        <v>PAYPAL</v>
      </c>
      <c r="V98" s="97">
        <v>2</v>
      </c>
      <c r="W98" s="90" t="s">
        <v>482</v>
      </c>
      <c r="X98" s="89">
        <f>Q98+P98</f>
        <v>2111</v>
      </c>
      <c r="Y98" s="89"/>
      <c r="Z98" s="58">
        <f t="shared" si="103"/>
        <v>0</v>
      </c>
      <c r="AA98" s="58">
        <f t="shared" si="104"/>
        <v>130</v>
      </c>
      <c r="AB98" s="58"/>
      <c r="AC98" s="98">
        <f>(O98+T98)-AA98</f>
        <v>1481</v>
      </c>
      <c r="AD98" s="58"/>
      <c r="AE98" s="58">
        <f t="shared" si="106"/>
        <v>30</v>
      </c>
      <c r="AF98" s="58">
        <f>IF(AG98&gt;0,AG58:AG98,0)</f>
        <v>1451</v>
      </c>
      <c r="AG98" s="58">
        <f t="shared" si="78"/>
        <v>1451</v>
      </c>
      <c r="AI98">
        <f t="shared" si="79"/>
        <v>0</v>
      </c>
      <c r="AJ98">
        <f t="shared" si="80"/>
        <v>0</v>
      </c>
      <c r="AK98">
        <f t="shared" si="81"/>
        <v>0</v>
      </c>
      <c r="AL98">
        <f t="shared" si="82"/>
        <v>1532</v>
      </c>
      <c r="AM98"/>
      <c r="AN98">
        <f t="shared" si="83"/>
        <v>0</v>
      </c>
      <c r="AO98">
        <f t="shared" si="84"/>
        <v>0</v>
      </c>
      <c r="AP98">
        <f t="shared" si="85"/>
        <v>0</v>
      </c>
      <c r="AQ98">
        <f t="shared" si="86"/>
        <v>1532</v>
      </c>
    </row>
    <row r="99" spans="1:44" ht="14.45" x14ac:dyDescent="0.3">
      <c r="B99" s="103" t="s">
        <v>83</v>
      </c>
      <c r="C99" s="86"/>
      <c r="D99" s="85" t="s">
        <v>43</v>
      </c>
      <c r="E99" s="84">
        <f>IF(D99=$B$12,H99,0)</f>
        <v>3</v>
      </c>
      <c r="F99" s="84">
        <f>IF(E99&gt;0,0,1)</f>
        <v>0</v>
      </c>
      <c r="G99" s="85" t="s">
        <v>429</v>
      </c>
      <c r="H99" s="85">
        <v>3</v>
      </c>
      <c r="I99" s="85"/>
      <c r="J99" s="84" t="s">
        <v>64</v>
      </c>
      <c r="K99" s="84" t="s">
        <v>56</v>
      </c>
      <c r="L99" s="90">
        <v>3</v>
      </c>
      <c r="M99" s="96" t="s">
        <v>37</v>
      </c>
      <c r="N99" s="84"/>
      <c r="O99" s="107">
        <v>0</v>
      </c>
      <c r="P99" s="58">
        <f>ROUND((O99*0.4),0)</f>
        <v>0</v>
      </c>
      <c r="Q99" s="84">
        <f>IF(O99&gt;0,((O99+500)-P99)+T99,0)</f>
        <v>0</v>
      </c>
      <c r="R99" s="57"/>
      <c r="S99" s="89"/>
      <c r="T99" s="89">
        <f>IF(U99=$AD$2,47,IF(U99=$AD$1,ROUND(((O99+500)*0.039),0),IF(U99=$AD$3,0)))</f>
        <v>0</v>
      </c>
      <c r="U99" s="87" t="str">
        <f>IF(V99=1,$AD$2,IF(V99=2,$AD$1,IF(AND(V99&lt;&gt;1,V99&lt;&gt;20)=TRUE,$AD$3)))</f>
        <v>NONE</v>
      </c>
      <c r="V99" s="97"/>
      <c r="W99" s="90"/>
      <c r="X99" s="89">
        <f>Q99+P99</f>
        <v>0</v>
      </c>
      <c r="Y99" s="89"/>
      <c r="Z99" s="58">
        <f>IF(W99=$Z$1,Q99-500,0)</f>
        <v>0</v>
      </c>
      <c r="AA99" s="58">
        <f>IF(H99&gt;0,130,0)</f>
        <v>130</v>
      </c>
      <c r="AB99" s="58"/>
      <c r="AC99" s="98">
        <f>(O99+T99)-AA99</f>
        <v>-130</v>
      </c>
      <c r="AD99" s="58"/>
      <c r="AE99" s="58">
        <f>IF(H99&gt;0,30*F99,0)</f>
        <v>0</v>
      </c>
      <c r="AF99" s="58">
        <f>IF(AG99&gt;0,AG52:AG99,0)</f>
        <v>0</v>
      </c>
      <c r="AG99" s="58">
        <f>AC99-AE99</f>
        <v>-130</v>
      </c>
      <c r="AI99">
        <f t="shared" si="79"/>
        <v>0</v>
      </c>
      <c r="AJ99">
        <f t="shared" si="80"/>
        <v>0</v>
      </c>
      <c r="AK99">
        <f t="shared" si="81"/>
        <v>0</v>
      </c>
      <c r="AL99">
        <f t="shared" si="82"/>
        <v>0</v>
      </c>
      <c r="AN99">
        <f t="shared" si="83"/>
        <v>0</v>
      </c>
      <c r="AO99">
        <f t="shared" si="84"/>
        <v>0</v>
      </c>
      <c r="AP99">
        <f t="shared" si="85"/>
        <v>0</v>
      </c>
      <c r="AQ99">
        <f t="shared" si="86"/>
        <v>0</v>
      </c>
    </row>
    <row r="100" spans="1:44" s="84" customFormat="1" ht="14.45" x14ac:dyDescent="0.3">
      <c r="B100" s="86" t="s">
        <v>316</v>
      </c>
      <c r="C100" t="s">
        <v>315</v>
      </c>
      <c r="D100" s="84" t="s">
        <v>31</v>
      </c>
      <c r="E100" s="84">
        <f>IF(D100=$B$12,H100,0)</f>
        <v>0</v>
      </c>
      <c r="F100" s="84">
        <f>IF(E100&gt;0,0,1)</f>
        <v>1</v>
      </c>
      <c r="G100" s="84" t="s">
        <v>317</v>
      </c>
      <c r="H100" s="85">
        <v>17</v>
      </c>
      <c r="I100" s="85"/>
      <c r="J100" s="84" t="s">
        <v>81</v>
      </c>
      <c r="K100" s="84" t="s">
        <v>56</v>
      </c>
      <c r="L100" s="90">
        <v>0</v>
      </c>
      <c r="M100" s="96" t="s">
        <v>37</v>
      </c>
      <c r="O100" s="107">
        <v>3039</v>
      </c>
      <c r="P100" s="58">
        <f>ROUND((O100*0.4),0)</f>
        <v>1216</v>
      </c>
      <c r="Q100" s="84">
        <f>IF(O100&gt;0,((O100+500)-P100)+T100,0)</f>
        <v>2461</v>
      </c>
      <c r="R100" s="57" t="s">
        <v>318</v>
      </c>
      <c r="S100" s="89">
        <v>4</v>
      </c>
      <c r="T100" s="89">
        <f>IF(U100=$AD$2,47,IF(U100=$AD$1,ROUND(((O100+500)*0.039),0),IF(U100=$AD$3,0)))</f>
        <v>138</v>
      </c>
      <c r="U100" s="87" t="str">
        <f t="shared" si="101"/>
        <v>PAYPAL</v>
      </c>
      <c r="V100" s="97">
        <v>2</v>
      </c>
      <c r="W100" s="90" t="s">
        <v>488</v>
      </c>
      <c r="X100" s="89">
        <f>Q100+P100</f>
        <v>3677</v>
      </c>
      <c r="Y100" s="89"/>
      <c r="Z100" s="58">
        <f t="shared" si="103"/>
        <v>0</v>
      </c>
      <c r="AA100" s="58">
        <f t="shared" si="104"/>
        <v>130</v>
      </c>
      <c r="AB100" s="58"/>
      <c r="AC100" s="98">
        <f>(O100+T100)-AA100</f>
        <v>3047</v>
      </c>
      <c r="AD100" s="58"/>
      <c r="AE100" s="58">
        <f t="shared" si="106"/>
        <v>30</v>
      </c>
      <c r="AF100" s="58">
        <f>IF(AG100&gt;0,AG57:AG100,0)</f>
        <v>3017</v>
      </c>
      <c r="AG100" s="58">
        <f t="shared" si="78"/>
        <v>3017</v>
      </c>
      <c r="AI100">
        <f t="shared" si="79"/>
        <v>0</v>
      </c>
      <c r="AJ100">
        <f t="shared" si="80"/>
        <v>0</v>
      </c>
      <c r="AK100">
        <f t="shared" si="81"/>
        <v>0</v>
      </c>
      <c r="AL100">
        <f t="shared" si="82"/>
        <v>3039</v>
      </c>
      <c r="AM100"/>
      <c r="AN100">
        <f t="shared" si="83"/>
        <v>0</v>
      </c>
      <c r="AO100">
        <f t="shared" si="84"/>
        <v>0</v>
      </c>
      <c r="AP100">
        <f t="shared" si="85"/>
        <v>0</v>
      </c>
      <c r="AQ100">
        <f t="shared" si="86"/>
        <v>3039</v>
      </c>
    </row>
    <row r="101" spans="1:44" ht="14.45" x14ac:dyDescent="0.3">
      <c r="B101" s="109" t="s">
        <v>463</v>
      </c>
      <c r="C101" t="s">
        <v>464</v>
      </c>
      <c r="D101" s="85" t="s">
        <v>376</v>
      </c>
      <c r="E101" s="85">
        <f>IF(D101=$B$12,H101,0)</f>
        <v>0</v>
      </c>
      <c r="F101" s="85">
        <f>IF(E101&gt;0,0,1)</f>
        <v>1</v>
      </c>
      <c r="G101" s="84" t="s">
        <v>465</v>
      </c>
      <c r="H101" s="85">
        <v>5</v>
      </c>
      <c r="I101" s="85"/>
      <c r="J101" s="84" t="s">
        <v>331</v>
      </c>
      <c r="K101" s="84" t="s">
        <v>56</v>
      </c>
      <c r="L101" s="146">
        <v>0</v>
      </c>
      <c r="M101" s="96" t="s">
        <v>37</v>
      </c>
      <c r="N101" s="85"/>
      <c r="O101" s="163">
        <v>919</v>
      </c>
      <c r="P101" s="113">
        <f>ROUND((O101*0.4),0)</f>
        <v>368</v>
      </c>
      <c r="Q101" s="85">
        <f>IF(O101&gt;0,((O101+500)-P101)+T101,0)</f>
        <v>1106</v>
      </c>
      <c r="R101" s="57" t="s">
        <v>466</v>
      </c>
      <c r="S101" s="154">
        <v>4</v>
      </c>
      <c r="T101" s="154">
        <f>IF(U101=$AD$2,47,IF(U101=$AD$1,ROUND(((O101+500)*0.039),0),IF(U101=$AD$3,0)))</f>
        <v>55</v>
      </c>
      <c r="U101" s="172" t="str">
        <f>IF(V101=1,$AD$2,IF(V101=2,$AD$1,IF(AND(V101&lt;&gt;1,V101&lt;&gt;20)=TRUE,$AD$3)))</f>
        <v>PAYPAL</v>
      </c>
      <c r="V101" s="97">
        <v>2</v>
      </c>
      <c r="W101" s="90" t="s">
        <v>357</v>
      </c>
      <c r="X101" s="154">
        <f>Q101+P101</f>
        <v>1474</v>
      </c>
      <c r="Y101" s="154"/>
      <c r="Z101" s="113">
        <f>IF(W101=$Z$1,Q101-500,0)</f>
        <v>0</v>
      </c>
      <c r="AA101" s="113">
        <f>IF(H101&gt;0,130,0)</f>
        <v>130</v>
      </c>
      <c r="AB101" s="113"/>
      <c r="AC101" s="155">
        <f>(O101+T101)-AA101</f>
        <v>844</v>
      </c>
      <c r="AD101" s="113"/>
      <c r="AE101" s="113">
        <f>IF(H101&gt;0,30*F101,0)</f>
        <v>30</v>
      </c>
      <c r="AF101" s="113">
        <f>IF(AG101&gt;0,AG49:AG101,0)</f>
        <v>814</v>
      </c>
      <c r="AG101" s="113">
        <f>AC101-AE101</f>
        <v>814</v>
      </c>
      <c r="AI101">
        <f>IF(S101=1,O101-T101,0)</f>
        <v>0</v>
      </c>
      <c r="AJ101">
        <f>IF(S101=2,O101-T101,0)</f>
        <v>0</v>
      </c>
      <c r="AK101">
        <f>IF(S101=3,O101-T101,0)</f>
        <v>0</v>
      </c>
      <c r="AL101">
        <f>IF(S101=4,O101-T101,0)</f>
        <v>864</v>
      </c>
      <c r="AN101">
        <f>IF(S101=1,O101-T101,0)</f>
        <v>0</v>
      </c>
      <c r="AO101">
        <f>IF(S101=2,O101-T101,0)</f>
        <v>0</v>
      </c>
      <c r="AP101">
        <f>IF(S101=3,O101-T101,0)</f>
        <v>0</v>
      </c>
      <c r="AQ101">
        <f>IF(S101=4,O101-T101,0)</f>
        <v>864</v>
      </c>
    </row>
    <row r="102" spans="1:44" s="84" customFormat="1" ht="14.45" x14ac:dyDescent="0.3">
      <c r="B102" s="103" t="s">
        <v>83</v>
      </c>
      <c r="C102" s="86" t="s">
        <v>43</v>
      </c>
      <c r="D102" s="84" t="s">
        <v>43</v>
      </c>
      <c r="E102" s="84">
        <f t="shared" si="90"/>
        <v>4</v>
      </c>
      <c r="F102" s="84">
        <f t="shared" si="91"/>
        <v>0</v>
      </c>
      <c r="G102" s="84" t="s">
        <v>295</v>
      </c>
      <c r="H102" s="85">
        <v>4</v>
      </c>
      <c r="I102" s="85"/>
      <c r="J102" s="84" t="s">
        <v>64</v>
      </c>
      <c r="K102" s="84" t="s">
        <v>56</v>
      </c>
      <c r="L102" s="90">
        <v>3</v>
      </c>
      <c r="M102" s="96" t="s">
        <v>37</v>
      </c>
      <c r="O102" s="107">
        <v>0</v>
      </c>
      <c r="P102" s="58">
        <f t="shared" si="92"/>
        <v>0</v>
      </c>
      <c r="Q102" s="84">
        <f t="shared" si="93"/>
        <v>0</v>
      </c>
      <c r="R102" s="57"/>
      <c r="S102" s="89">
        <v>4</v>
      </c>
      <c r="T102" s="89">
        <f t="shared" si="94"/>
        <v>0</v>
      </c>
      <c r="U102" s="87" t="str">
        <f t="shared" si="73"/>
        <v>NONE</v>
      </c>
      <c r="V102" s="97"/>
      <c r="W102" s="90"/>
      <c r="X102" s="89">
        <f t="shared" si="95"/>
        <v>0</v>
      </c>
      <c r="Y102" s="89"/>
      <c r="Z102" s="58">
        <f t="shared" si="75"/>
        <v>0</v>
      </c>
      <c r="AA102" s="58">
        <f t="shared" si="76"/>
        <v>130</v>
      </c>
      <c r="AB102" s="58"/>
      <c r="AC102" s="98">
        <f t="shared" si="96"/>
        <v>-130</v>
      </c>
      <c r="AD102" s="58"/>
      <c r="AE102" s="58">
        <f t="shared" si="77"/>
        <v>0</v>
      </c>
      <c r="AF102" s="58">
        <f>IF(AG102&gt;0,AG69:AG102,0)</f>
        <v>0</v>
      </c>
      <c r="AG102" s="58">
        <f t="shared" si="78"/>
        <v>-130</v>
      </c>
      <c r="AI102">
        <f t="shared" si="79"/>
        <v>0</v>
      </c>
      <c r="AJ102">
        <f t="shared" si="80"/>
        <v>0</v>
      </c>
      <c r="AK102">
        <f t="shared" si="81"/>
        <v>0</v>
      </c>
      <c r="AL102">
        <f t="shared" si="82"/>
        <v>0</v>
      </c>
      <c r="AM102"/>
      <c r="AN102">
        <f t="shared" si="83"/>
        <v>0</v>
      </c>
      <c r="AO102">
        <f t="shared" si="84"/>
        <v>0</v>
      </c>
      <c r="AP102">
        <f t="shared" si="85"/>
        <v>0</v>
      </c>
      <c r="AQ102">
        <f t="shared" si="86"/>
        <v>0</v>
      </c>
    </row>
    <row r="103" spans="1:44" ht="14.45" x14ac:dyDescent="0.3">
      <c r="B103" s="168" t="s">
        <v>438</v>
      </c>
      <c r="C103" s="86" t="s">
        <v>43</v>
      </c>
      <c r="D103" s="84" t="s">
        <v>43</v>
      </c>
      <c r="E103" s="84">
        <f>IF(D103=$B$12,H103,0)</f>
        <v>14</v>
      </c>
      <c r="F103" s="84">
        <f>IF(E103&gt;0,0,1)</f>
        <v>0</v>
      </c>
      <c r="G103" s="84" t="s">
        <v>439</v>
      </c>
      <c r="H103" s="85">
        <v>14</v>
      </c>
      <c r="I103" s="85"/>
      <c r="J103" s="84" t="s">
        <v>440</v>
      </c>
      <c r="K103" s="84" t="s">
        <v>56</v>
      </c>
      <c r="L103" s="90">
        <v>0</v>
      </c>
      <c r="M103" s="96" t="s">
        <v>37</v>
      </c>
      <c r="N103" s="84"/>
      <c r="O103" s="107">
        <v>0</v>
      </c>
      <c r="P103" s="58">
        <f>ROUND((O103*0.4),0)</f>
        <v>0</v>
      </c>
      <c r="Q103" s="84">
        <f>IF(O103&gt;0,((O103+500)-P103)+T103,0)</f>
        <v>0</v>
      </c>
      <c r="R103" s="57"/>
      <c r="S103" s="89"/>
      <c r="T103" s="89">
        <f>IF(U103=$AD$2,47,IF(U103=$AD$1,ROUND(((O103+500)*0.039),0),IF(U103=$AD$3,0)))</f>
        <v>0</v>
      </c>
      <c r="U103" s="87" t="str">
        <f>IF(V103=1,$AD$2,IF(V103=2,$AD$1,IF(AND(V103&lt;&gt;1,V103&lt;&gt;20)=TRUE,$AD$3)))</f>
        <v>NONE</v>
      </c>
      <c r="V103" s="97"/>
      <c r="W103" s="90"/>
      <c r="X103" s="89">
        <f>Q103+P103</f>
        <v>0</v>
      </c>
      <c r="Y103" s="89"/>
      <c r="Z103" s="58">
        <f>IF(W103=$Z$1,Q103-500,0)</f>
        <v>0</v>
      </c>
      <c r="AA103" s="58">
        <f>IF(H103&gt;0,130,0)</f>
        <v>130</v>
      </c>
      <c r="AB103" s="58"/>
      <c r="AC103" s="98">
        <f>(O103+T103)-AA103</f>
        <v>-130</v>
      </c>
      <c r="AD103" s="58"/>
      <c r="AE103" s="58">
        <f>IF(H103&gt;0,30*F103,0)</f>
        <v>0</v>
      </c>
      <c r="AF103" s="58">
        <f>IF(AG103&gt;0,AG55:AG103,0)</f>
        <v>0</v>
      </c>
      <c r="AG103" s="58">
        <f>AC103-AE103</f>
        <v>-130</v>
      </c>
      <c r="AI103">
        <f>IF(S103=1,O103-T103,0)</f>
        <v>0</v>
      </c>
      <c r="AJ103">
        <f>IF(S103=2,O103-T103,0)</f>
        <v>0</v>
      </c>
      <c r="AK103">
        <f>IF(S103=3,O103-T103,0)</f>
        <v>0</v>
      </c>
      <c r="AL103">
        <f>IF(S103=4,O103-T103,0)</f>
        <v>0</v>
      </c>
      <c r="AN103">
        <f>IF(S103=1,O103-T103,0)</f>
        <v>0</v>
      </c>
      <c r="AO103">
        <f>IF(S103=2,O103-T103,0)</f>
        <v>0</v>
      </c>
      <c r="AP103">
        <f>IF(S103=3,O103-T103,0)</f>
        <v>0</v>
      </c>
      <c r="AQ103">
        <f>IF(S103=4,O103-T103,0)</f>
        <v>0</v>
      </c>
    </row>
    <row r="104" spans="1:44" ht="14.45" x14ac:dyDescent="0.3">
      <c r="B104" s="84" t="s">
        <v>413</v>
      </c>
      <c r="C104" t="s">
        <v>414</v>
      </c>
      <c r="D104" s="84" t="s">
        <v>31</v>
      </c>
      <c r="E104" s="84">
        <f>IF(D104=$B$12,H104,0)</f>
        <v>0</v>
      </c>
      <c r="F104" s="84">
        <f>IF(E104&gt;0,0,1)</f>
        <v>1</v>
      </c>
      <c r="G104" s="84" t="s">
        <v>415</v>
      </c>
      <c r="H104" s="85">
        <v>9</v>
      </c>
      <c r="I104" s="85"/>
      <c r="J104" s="84" t="s">
        <v>144</v>
      </c>
      <c r="K104" s="84" t="s">
        <v>56</v>
      </c>
      <c r="L104" s="90">
        <v>0</v>
      </c>
      <c r="M104" s="96" t="s">
        <v>37</v>
      </c>
      <c r="N104" s="84"/>
      <c r="O104" s="107">
        <v>1872</v>
      </c>
      <c r="P104" s="164">
        <f>ROUND((O104*0.4),0)</f>
        <v>749</v>
      </c>
      <c r="Q104" s="84">
        <f>IF(O104&gt;0,((O104+500)-P104)+T104,0)</f>
        <v>1716</v>
      </c>
      <c r="R104" s="57" t="s">
        <v>416</v>
      </c>
      <c r="S104" s="89">
        <v>4</v>
      </c>
      <c r="T104" s="89">
        <f>IF(U104=$AD$2,47,IF(U104=$AD$1,ROUND(((O104+500)*0.039),0),IF(U104=$AD$3,0)))</f>
        <v>93</v>
      </c>
      <c r="U104" s="87" t="str">
        <f>IF(V104=1,$AD$2,IF(V104=2,$AD$1,IF(AND(V104&lt;&gt;1,V104&lt;&gt;20)=TRUE,$AD$3)))</f>
        <v>PAYPAL</v>
      </c>
      <c r="V104" s="97">
        <v>2</v>
      </c>
      <c r="W104" s="90" t="s">
        <v>489</v>
      </c>
      <c r="X104" s="89">
        <f>Q104+P104</f>
        <v>2465</v>
      </c>
      <c r="Y104" s="89"/>
      <c r="Z104" s="58">
        <f>IF(W104=$Z$1,Q104-500,0)</f>
        <v>0</v>
      </c>
      <c r="AA104" s="58">
        <f>IF(H104&gt;0,130,0)</f>
        <v>130</v>
      </c>
      <c r="AB104" s="58"/>
      <c r="AC104" s="98">
        <f>(O104+T104)-AA104</f>
        <v>1835</v>
      </c>
      <c r="AD104" s="58"/>
      <c r="AE104" s="58">
        <f>IF(H104&gt;0,30*F104,0)</f>
        <v>30</v>
      </c>
      <c r="AF104" s="58">
        <f>IF(AG104&gt;0,AG57:AG105,0)</f>
        <v>1805</v>
      </c>
      <c r="AG104" s="58">
        <f t="shared" si="78"/>
        <v>1805</v>
      </c>
      <c r="AI104">
        <f>IF(S104=1,O104,0)</f>
        <v>0</v>
      </c>
      <c r="AJ104">
        <f>IF(S104=2,O104,0)</f>
        <v>0</v>
      </c>
      <c r="AK104">
        <f>IF(S104=3,O104,0)</f>
        <v>0</v>
      </c>
      <c r="AL104">
        <f>IF(S104=4,O104,0)</f>
        <v>1872</v>
      </c>
      <c r="AN104">
        <f>IF(S104=1,O104,0)</f>
        <v>0</v>
      </c>
      <c r="AO104">
        <f>IF(S104=2,O104,0)</f>
        <v>0</v>
      </c>
      <c r="AP104">
        <f>IF(S104=3,O104,0)</f>
        <v>0</v>
      </c>
      <c r="AQ104">
        <f>IF(S104=4,O104,0)</f>
        <v>1872</v>
      </c>
    </row>
    <row r="105" spans="1:44" ht="14.45" x14ac:dyDescent="0.3">
      <c r="B105" s="84" t="s">
        <v>402</v>
      </c>
      <c r="C105" t="s">
        <v>403</v>
      </c>
      <c r="D105" s="84" t="s">
        <v>31</v>
      </c>
      <c r="E105" s="84">
        <f>IF(D105=$B$12,H105,0)</f>
        <v>0</v>
      </c>
      <c r="F105" s="84">
        <f>IF(E105&gt;0,0,1)</f>
        <v>1</v>
      </c>
      <c r="G105" s="84" t="s">
        <v>404</v>
      </c>
      <c r="H105" s="85">
        <v>5</v>
      </c>
      <c r="I105" s="85"/>
      <c r="J105" s="84" t="s">
        <v>405</v>
      </c>
      <c r="K105" s="84" t="s">
        <v>56</v>
      </c>
      <c r="L105" s="90">
        <v>0</v>
      </c>
      <c r="M105" s="96" t="s">
        <v>37</v>
      </c>
      <c r="N105" s="84"/>
      <c r="O105" s="107">
        <v>1111</v>
      </c>
      <c r="P105" s="58">
        <f>ROUND((O105*0.4),0)</f>
        <v>444</v>
      </c>
      <c r="Q105" s="84">
        <f>IF(O105&gt;0,((O105+500)-P105)+T105,0)</f>
        <v>1230</v>
      </c>
      <c r="R105" s="57" t="s">
        <v>406</v>
      </c>
      <c r="S105" s="89">
        <v>4</v>
      </c>
      <c r="T105" s="89">
        <f>IF(U105=$AD$2,47,IF(U105=$AD$1,ROUND(((O105+500)*0.039),0),IF(U105=$AD$3,0)))</f>
        <v>63</v>
      </c>
      <c r="U105" s="87" t="str">
        <f>IF(V105=1,$AD$2,IF(V105=2,$AD$1,IF(AND(V105&lt;&gt;1,V105&lt;&gt;20)=TRUE,$AD$3)))</f>
        <v>PAYPAL</v>
      </c>
      <c r="V105" s="97">
        <v>2</v>
      </c>
      <c r="W105" s="90" t="s">
        <v>494</v>
      </c>
      <c r="X105" s="89">
        <f>Q105+P105</f>
        <v>1674</v>
      </c>
      <c r="Y105" s="89"/>
      <c r="Z105" s="58">
        <f>IF(W105=$Z$1,Q105-500,0)</f>
        <v>0</v>
      </c>
      <c r="AA105" s="58">
        <f>IF(H105&gt;0,130,0)</f>
        <v>130</v>
      </c>
      <c r="AB105" s="58"/>
      <c r="AC105" s="98">
        <f>(O105+T105)-AA105</f>
        <v>1044</v>
      </c>
      <c r="AD105" s="58"/>
      <c r="AE105" s="58">
        <f>IF(H105&gt;0,30*F105,0)</f>
        <v>30</v>
      </c>
      <c r="AF105" s="58">
        <f>IF(AG105&gt;0,AG56:AG105,0)</f>
        <v>1014</v>
      </c>
      <c r="AG105" s="58">
        <f t="shared" si="78"/>
        <v>1014</v>
      </c>
      <c r="AI105">
        <f t="shared" si="79"/>
        <v>0</v>
      </c>
      <c r="AJ105">
        <f t="shared" si="80"/>
        <v>0</v>
      </c>
      <c r="AK105">
        <f t="shared" si="81"/>
        <v>0</v>
      </c>
      <c r="AL105">
        <f t="shared" si="82"/>
        <v>1111</v>
      </c>
      <c r="AN105">
        <f t="shared" si="83"/>
        <v>0</v>
      </c>
      <c r="AO105">
        <f t="shared" si="84"/>
        <v>0</v>
      </c>
      <c r="AP105">
        <f t="shared" si="85"/>
        <v>0</v>
      </c>
      <c r="AQ105">
        <f t="shared" si="86"/>
        <v>1111</v>
      </c>
    </row>
    <row r="106" spans="1:44" s="84" customFormat="1" ht="14.45" x14ac:dyDescent="0.3">
      <c r="B106" s="103" t="s">
        <v>83</v>
      </c>
      <c r="C106" s="86" t="s">
        <v>43</v>
      </c>
      <c r="D106" s="84" t="s">
        <v>43</v>
      </c>
      <c r="E106" s="84">
        <f t="shared" si="90"/>
        <v>4</v>
      </c>
      <c r="F106" s="84">
        <f t="shared" si="91"/>
        <v>0</v>
      </c>
      <c r="G106" s="84" t="s">
        <v>296</v>
      </c>
      <c r="H106" s="85">
        <v>4</v>
      </c>
      <c r="I106" s="85"/>
      <c r="J106" s="84" t="s">
        <v>64</v>
      </c>
      <c r="K106" s="84" t="s">
        <v>56</v>
      </c>
      <c r="L106" s="90">
        <v>3</v>
      </c>
      <c r="M106" s="96" t="s">
        <v>37</v>
      </c>
      <c r="O106" s="107">
        <v>0</v>
      </c>
      <c r="P106" s="58">
        <f t="shared" si="92"/>
        <v>0</v>
      </c>
      <c r="Q106" s="84">
        <f t="shared" si="93"/>
        <v>0</v>
      </c>
      <c r="R106" s="57"/>
      <c r="S106" s="89">
        <v>4</v>
      </c>
      <c r="T106" s="89">
        <f t="shared" si="94"/>
        <v>0</v>
      </c>
      <c r="U106" s="87" t="str">
        <f t="shared" si="73"/>
        <v>NONE</v>
      </c>
      <c r="V106" s="97"/>
      <c r="W106" s="90"/>
      <c r="X106" s="89">
        <f t="shared" si="95"/>
        <v>0</v>
      </c>
      <c r="Y106" s="89"/>
      <c r="Z106" s="58">
        <f t="shared" si="75"/>
        <v>0</v>
      </c>
      <c r="AA106" s="58">
        <f t="shared" si="76"/>
        <v>130</v>
      </c>
      <c r="AB106" s="58"/>
      <c r="AC106" s="98">
        <f t="shared" si="96"/>
        <v>-130</v>
      </c>
      <c r="AD106" s="58"/>
      <c r="AE106" s="58">
        <f t="shared" si="77"/>
        <v>0</v>
      </c>
      <c r="AF106" s="58">
        <f>IF(AG106&gt;0,AG70:AG106,0)</f>
        <v>0</v>
      </c>
      <c r="AG106" s="58">
        <f t="shared" si="78"/>
        <v>-130</v>
      </c>
      <c r="AI106">
        <f t="shared" si="79"/>
        <v>0</v>
      </c>
      <c r="AJ106">
        <f t="shared" si="80"/>
        <v>0</v>
      </c>
      <c r="AK106">
        <f t="shared" si="81"/>
        <v>0</v>
      </c>
      <c r="AL106">
        <f t="shared" si="82"/>
        <v>0</v>
      </c>
      <c r="AM106"/>
      <c r="AN106">
        <f t="shared" si="83"/>
        <v>0</v>
      </c>
      <c r="AO106">
        <f t="shared" si="84"/>
        <v>0</v>
      </c>
      <c r="AP106">
        <f t="shared" si="85"/>
        <v>0</v>
      </c>
      <c r="AQ106">
        <f t="shared" si="86"/>
        <v>0</v>
      </c>
    </row>
    <row r="107" spans="1:44" ht="14.45" x14ac:dyDescent="0.3">
      <c r="B107" s="16"/>
      <c r="C107" s="8"/>
      <c r="D107" s="16"/>
      <c r="E107">
        <f t="shared" si="90"/>
        <v>0</v>
      </c>
      <c r="F107">
        <f t="shared" si="91"/>
        <v>1</v>
      </c>
      <c r="G107" s="16"/>
      <c r="H107" s="16">
        <v>0</v>
      </c>
      <c r="I107" s="16"/>
      <c r="J107" s="16"/>
      <c r="M107" s="4"/>
      <c r="O107" s="107">
        <v>0</v>
      </c>
      <c r="P107" s="58">
        <f t="shared" si="92"/>
        <v>0</v>
      </c>
      <c r="Q107" s="84">
        <f t="shared" si="93"/>
        <v>0</v>
      </c>
      <c r="R107" s="57"/>
      <c r="S107" s="89">
        <v>4</v>
      </c>
      <c r="T107" s="89">
        <f t="shared" si="94"/>
        <v>0</v>
      </c>
      <c r="U107" s="87" t="str">
        <f t="shared" si="73"/>
        <v>NONE</v>
      </c>
      <c r="V107" s="97"/>
      <c r="W107" s="90"/>
      <c r="X107" s="89">
        <f t="shared" si="95"/>
        <v>0</v>
      </c>
      <c r="Y107" s="72"/>
      <c r="Z107" s="1">
        <f t="shared" si="75"/>
        <v>0</v>
      </c>
      <c r="AA107" s="1">
        <f t="shared" si="76"/>
        <v>0</v>
      </c>
      <c r="AB107" s="1"/>
      <c r="AC107" s="76">
        <f t="shared" si="96"/>
        <v>0</v>
      </c>
      <c r="AD107" s="1"/>
      <c r="AE107" s="1">
        <f t="shared" si="77"/>
        <v>0</v>
      </c>
      <c r="AF107" s="1">
        <f>IF(AG107&gt;0,AG107,0)</f>
        <v>0</v>
      </c>
      <c r="AG107" s="1">
        <f t="shared" si="78"/>
        <v>0</v>
      </c>
      <c r="AI107">
        <f t="shared" si="79"/>
        <v>0</v>
      </c>
      <c r="AJ107">
        <f t="shared" si="80"/>
        <v>0</v>
      </c>
      <c r="AK107">
        <f t="shared" si="81"/>
        <v>0</v>
      </c>
      <c r="AL107">
        <f t="shared" si="82"/>
        <v>0</v>
      </c>
      <c r="AN107">
        <f t="shared" si="83"/>
        <v>0</v>
      </c>
      <c r="AO107">
        <f t="shared" si="84"/>
        <v>0</v>
      </c>
      <c r="AP107">
        <f t="shared" si="85"/>
        <v>0</v>
      </c>
      <c r="AQ107">
        <f t="shared" si="86"/>
        <v>0</v>
      </c>
    </row>
    <row r="108" spans="1:44" ht="14.45" x14ac:dyDescent="0.3">
      <c r="A108" s="45"/>
      <c r="B108" s="194">
        <f>COUNTIFS(D75:D107,"&lt;&gt;NA")-COUNTIFS(D75:D107,"="&amp;$D$1)</f>
        <v>22</v>
      </c>
      <c r="C108" s="174" t="s">
        <v>479</v>
      </c>
      <c r="D108" s="46">
        <f>SUM(E75:E107)</f>
        <v>105</v>
      </c>
      <c r="E108" s="46"/>
      <c r="F108" s="46"/>
      <c r="G108" s="63" t="s">
        <v>219</v>
      </c>
      <c r="H108" s="62">
        <f>SUM(H75:H107)-SUM(E75:E107)</f>
        <v>241</v>
      </c>
      <c r="I108" s="62"/>
      <c r="J108" s="61">
        <f>ROUND(H108/7,0)</f>
        <v>34</v>
      </c>
      <c r="K108" s="61" t="s">
        <v>218</v>
      </c>
      <c r="L108" s="63" t="s">
        <v>220</v>
      </c>
      <c r="M108" s="151">
        <f>ROUND(AF108/J108,0)</f>
        <v>1269</v>
      </c>
      <c r="N108" s="45"/>
      <c r="O108" s="82">
        <f>SUM(O75:O107)</f>
        <v>45928</v>
      </c>
      <c r="P108" s="49"/>
      <c r="Q108" s="80">
        <f>Z108</f>
        <v>0</v>
      </c>
      <c r="R108" s="79" t="s">
        <v>258</v>
      </c>
      <c r="S108" s="126"/>
      <c r="T108" s="73"/>
      <c r="U108" s="48"/>
      <c r="V108" s="48"/>
      <c r="W108" s="47"/>
      <c r="X108" s="49"/>
      <c r="Y108" s="49">
        <f>Z108</f>
        <v>0</v>
      </c>
      <c r="Z108" s="49">
        <f>SUM(Z75:Z107)</f>
        <v>0</v>
      </c>
      <c r="AA108" s="49">
        <f>SUM(AA75:AA107)</f>
        <v>4160</v>
      </c>
      <c r="AB108" s="49">
        <f>AA108</f>
        <v>4160</v>
      </c>
      <c r="AC108" s="45"/>
      <c r="AD108" s="49"/>
      <c r="AE108" s="49">
        <f>SUM(AE75:AE107)</f>
        <v>660</v>
      </c>
      <c r="AF108" s="49">
        <f>SUM(AF75:AF107)</f>
        <v>43154</v>
      </c>
      <c r="AG108" s="82">
        <f>SUM(AG75:AG107)</f>
        <v>42830</v>
      </c>
      <c r="AH108" s="45">
        <f>AG108</f>
        <v>42830</v>
      </c>
      <c r="AI108" s="129">
        <f>SUM(AI75:AI107)</f>
        <v>7426</v>
      </c>
      <c r="AJ108" s="129">
        <f t="shared" ref="AJ108:AL108" si="107">SUM(AJ75:AJ107)</f>
        <v>12791</v>
      </c>
      <c r="AK108" s="129">
        <f t="shared" si="107"/>
        <v>15050</v>
      </c>
      <c r="AL108" s="129">
        <f t="shared" si="107"/>
        <v>10606</v>
      </c>
      <c r="AM108" s="131">
        <f>SUM(AI108:AL108)</f>
        <v>45873</v>
      </c>
      <c r="AN108" s="129">
        <f t="shared" ref="AN108:AQ108" si="108">SUM(AN75:AN107)</f>
        <v>7426</v>
      </c>
      <c r="AO108" s="129">
        <f t="shared" si="108"/>
        <v>12791</v>
      </c>
      <c r="AP108" s="129">
        <f t="shared" si="108"/>
        <v>15050</v>
      </c>
      <c r="AQ108" s="129">
        <f t="shared" si="108"/>
        <v>10606</v>
      </c>
      <c r="AR108" s="131">
        <f>SUM(AN108:AQ108)</f>
        <v>45873</v>
      </c>
    </row>
    <row r="109" spans="1:44" ht="23.45" x14ac:dyDescent="0.45">
      <c r="A109" s="31"/>
      <c r="B109" s="28">
        <v>2013</v>
      </c>
      <c r="C109" s="29"/>
      <c r="D109" s="30"/>
      <c r="E109" s="30"/>
      <c r="F109" s="30"/>
      <c r="G109" s="30"/>
      <c r="H109" s="30"/>
      <c r="I109" s="30"/>
      <c r="J109" s="30"/>
      <c r="K109" s="31"/>
      <c r="L109" s="32"/>
      <c r="M109" s="33"/>
      <c r="N109" s="31"/>
      <c r="O109" s="34"/>
      <c r="P109" s="34"/>
      <c r="Q109" s="31"/>
      <c r="R109" s="35"/>
      <c r="S109" s="71"/>
      <c r="T109" s="71"/>
      <c r="U109" s="36"/>
      <c r="V109" s="70"/>
      <c r="W109" s="32"/>
      <c r="X109" s="34"/>
      <c r="Y109" s="34"/>
      <c r="Z109" s="34"/>
      <c r="AA109" s="34"/>
      <c r="AB109" s="34"/>
      <c r="AC109" s="31"/>
      <c r="AD109" s="34"/>
      <c r="AE109" s="34"/>
      <c r="AF109" s="34"/>
      <c r="AG109" s="34"/>
      <c r="AI109" s="119">
        <f>ROUNDUP(AI108*0.04,0)</f>
        <v>298</v>
      </c>
      <c r="AJ109" s="119">
        <f t="shared" ref="AJ109" si="109">ROUNDUP(AJ108*0.04,0)</f>
        <v>512</v>
      </c>
      <c r="AK109" s="119">
        <f t="shared" ref="AK109" si="110">ROUNDUP(AK108*0.04,0)</f>
        <v>602</v>
      </c>
      <c r="AL109" s="119">
        <f t="shared" ref="AL109" si="111">ROUNDUP(AL108*0.04,0)</f>
        <v>425</v>
      </c>
      <c r="AM109" s="131">
        <f t="shared" ref="AM109" si="112">SUM(AI109:AL109)</f>
        <v>1837</v>
      </c>
      <c r="AN109" s="119">
        <f>ROUNDUP(AN108*0.06,0)</f>
        <v>446</v>
      </c>
      <c r="AO109" s="119">
        <f t="shared" ref="AO109" si="113">ROUNDUP(AO108*0.06,0)</f>
        <v>768</v>
      </c>
      <c r="AP109" s="119">
        <f t="shared" ref="AP109" si="114">ROUNDUP(AP108*0.06,0)</f>
        <v>903</v>
      </c>
      <c r="AQ109" s="119">
        <f t="shared" ref="AQ109" si="115">ROUNDUP(AQ108*0.06,0)</f>
        <v>637</v>
      </c>
      <c r="AR109" s="131">
        <f t="shared" ref="AR109" si="116">SUM(AN109:AQ109)</f>
        <v>2754</v>
      </c>
    </row>
    <row r="110" spans="1:44" s="84" customFormat="1" ht="18" customHeight="1" x14ac:dyDescent="0.25">
      <c r="B110" s="103" t="s">
        <v>83</v>
      </c>
      <c r="C110" s="86" t="s">
        <v>43</v>
      </c>
      <c r="D110" s="85" t="s">
        <v>43</v>
      </c>
      <c r="E110" s="84">
        <f>IF(D110=$B$12,H110,0)</f>
        <v>58</v>
      </c>
      <c r="F110" s="84">
        <f>IF(E110&gt;0,0,1)</f>
        <v>0</v>
      </c>
      <c r="G110" s="108" t="s">
        <v>484</v>
      </c>
      <c r="H110" s="85">
        <f>31+27</f>
        <v>58</v>
      </c>
      <c r="I110" s="85"/>
      <c r="J110" t="s">
        <v>144</v>
      </c>
      <c r="K110" s="84" t="s">
        <v>56</v>
      </c>
      <c r="L110" s="90">
        <v>3</v>
      </c>
      <c r="M110" s="4" t="s">
        <v>393</v>
      </c>
      <c r="O110" s="107">
        <v>0</v>
      </c>
      <c r="P110" s="58">
        <f>ROUND((O110*0.4),0)</f>
        <v>0</v>
      </c>
      <c r="Q110" s="84">
        <f>IF(O110&gt;0,((O110+500)-P110)+T110,0)</f>
        <v>0</v>
      </c>
      <c r="R110" s="57"/>
      <c r="S110" s="89"/>
      <c r="T110" s="89">
        <f>IF(U110=$AD$2,47,IF(U110=$AD$1,ROUND(((O110+500)*0.039),0),IF(U110=$AD$3,0)))</f>
        <v>0</v>
      </c>
      <c r="U110" s="87" t="str">
        <f>IF(V110=1,$AD$2,IF(V110=2,$AD$1,IF(AND(V110&lt;&gt;1,V110&lt;&gt;20)=TRUE,$AD$3)))</f>
        <v>NONE</v>
      </c>
      <c r="V110" s="97"/>
      <c r="W110" s="90"/>
      <c r="X110" s="89">
        <f>Q110+P110</f>
        <v>0</v>
      </c>
      <c r="Y110" s="89"/>
      <c r="Z110" s="58">
        <f>IF(W110=$Z$1,Q110-500,0)</f>
        <v>0</v>
      </c>
      <c r="AA110" s="58">
        <f>IF(H110&gt;0,130,0)</f>
        <v>130</v>
      </c>
      <c r="AB110" s="58"/>
      <c r="AC110" s="98">
        <f>(O110+T110)-AA110</f>
        <v>-130</v>
      </c>
      <c r="AD110" s="58"/>
      <c r="AE110" s="58">
        <f>IF(H110&gt;0,30*F110,0)</f>
        <v>0</v>
      </c>
      <c r="AF110" s="58">
        <f>IF(AG110&gt;0,AG60:AG110,0)</f>
        <v>0</v>
      </c>
      <c r="AG110" s="58">
        <f t="shared" ref="AG110:AG141" si="117">AC110-AE110</f>
        <v>-130</v>
      </c>
      <c r="AI110">
        <f t="shared" ref="AI110:AI141" si="118">IF(S110=1,O110-T110,0)</f>
        <v>0</v>
      </c>
      <c r="AJ110">
        <f t="shared" ref="AJ110:AJ141" si="119">IF(S110=2,O110-T110,0)</f>
        <v>0</v>
      </c>
      <c r="AK110">
        <f t="shared" ref="AK110:AK141" si="120">IF(S110=3,O110-T110,0)</f>
        <v>0</v>
      </c>
      <c r="AL110">
        <f t="shared" ref="AL110:AL141" si="121">IF(S110=4,O110-T110,0)</f>
        <v>0</v>
      </c>
      <c r="AM110"/>
      <c r="AN110">
        <f t="shared" ref="AN110:AN141" si="122">IF(S110=1,O110-T110,0)</f>
        <v>0</v>
      </c>
      <c r="AO110">
        <f t="shared" ref="AO110:AO141" si="123">IF(S110=2,O110-T110,0)</f>
        <v>0</v>
      </c>
      <c r="AP110">
        <f t="shared" ref="AP110:AP141" si="124">IF(S110=3,O110-T110,0)</f>
        <v>0</v>
      </c>
      <c r="AQ110">
        <f t="shared" ref="AQ110:AQ141" si="125">IF(S110=4,O110-T110,0)</f>
        <v>0</v>
      </c>
    </row>
    <row r="111" spans="1:44" s="84" customFormat="1" ht="14.45" x14ac:dyDescent="0.3">
      <c r="B111" s="103" t="s">
        <v>83</v>
      </c>
      <c r="C111" s="86" t="s">
        <v>43</v>
      </c>
      <c r="D111" s="85" t="s">
        <v>43</v>
      </c>
      <c r="E111" s="84">
        <f t="shared" ref="E111:E141" si="126">IF(D111=$B$12,H111,0)</f>
        <v>3</v>
      </c>
      <c r="F111" s="84">
        <f t="shared" ref="F111:F141" si="127">IF(E111&gt;0,0,1)</f>
        <v>0</v>
      </c>
      <c r="G111" s="108" t="s">
        <v>483</v>
      </c>
      <c r="H111" s="85">
        <v>3</v>
      </c>
      <c r="I111" s="85"/>
      <c r="J111" s="84" t="s">
        <v>144</v>
      </c>
      <c r="K111" s="84" t="s">
        <v>56</v>
      </c>
      <c r="L111" s="90">
        <v>3</v>
      </c>
      <c r="M111" s="96" t="s">
        <v>37</v>
      </c>
      <c r="O111" s="107">
        <v>0</v>
      </c>
      <c r="P111" s="58">
        <f t="shared" ref="P111:P141" si="128">ROUND((O111*0.4),0)</f>
        <v>0</v>
      </c>
      <c r="Q111" s="84">
        <f t="shared" ref="Q111:Q141" si="129">IF(O111&gt;0,((O111+500)-P111)+T111,0)</f>
        <v>0</v>
      </c>
      <c r="R111" s="57"/>
      <c r="S111" s="89"/>
      <c r="T111" s="89">
        <f t="shared" ref="T111:T141" si="130">IF(U111=$AD$2,47,IF(U111=$AD$1,ROUND(((O111+500)*0.039),0),IF(U111=$AD$3,0)))</f>
        <v>0</v>
      </c>
      <c r="U111" s="87" t="str">
        <f t="shared" ref="U111:U141" si="131">IF(V111=1,$AD$2,IF(V111=2,$AD$1,IF(AND(V111&lt;&gt;1,V111&lt;&gt;20)=TRUE,$AD$3)))</f>
        <v>NONE</v>
      </c>
      <c r="V111" s="97"/>
      <c r="W111" s="90"/>
      <c r="X111" s="89">
        <f t="shared" ref="X111:X141" si="132">Q111+P111</f>
        <v>0</v>
      </c>
      <c r="Y111" s="89"/>
      <c r="Z111" s="58">
        <f t="shared" ref="Z111:Z141" si="133">IF(W111=$Z$1,Q111-500,0)</f>
        <v>0</v>
      </c>
      <c r="AA111" s="58">
        <f t="shared" ref="AA111:AA141" si="134">IF(H111&gt;0,130,0)</f>
        <v>130</v>
      </c>
      <c r="AB111" s="58"/>
      <c r="AC111" s="98">
        <f t="shared" ref="AC111:AC141" si="135">(O111+T111)-AA111</f>
        <v>-130</v>
      </c>
      <c r="AD111" s="58"/>
      <c r="AE111" s="58">
        <f t="shared" ref="AE111:AE141" si="136">IF(H111&gt;0,30*F111,0)</f>
        <v>0</v>
      </c>
      <c r="AF111" s="58">
        <f>IF(AG111&gt;0,AG61:AG111,0)</f>
        <v>0</v>
      </c>
      <c r="AG111" s="58">
        <f t="shared" si="117"/>
        <v>-130</v>
      </c>
      <c r="AI111">
        <f t="shared" si="118"/>
        <v>0</v>
      </c>
      <c r="AJ111">
        <f t="shared" si="119"/>
        <v>0</v>
      </c>
      <c r="AK111">
        <f t="shared" si="120"/>
        <v>0</v>
      </c>
      <c r="AL111">
        <f t="shared" si="121"/>
        <v>0</v>
      </c>
      <c r="AM111"/>
      <c r="AN111">
        <f t="shared" si="122"/>
        <v>0</v>
      </c>
      <c r="AO111">
        <f t="shared" si="123"/>
        <v>0</v>
      </c>
      <c r="AP111">
        <f t="shared" si="124"/>
        <v>0</v>
      </c>
      <c r="AQ111">
        <f t="shared" si="125"/>
        <v>0</v>
      </c>
    </row>
    <row r="112" spans="1:44" s="84" customFormat="1" ht="14.45" x14ac:dyDescent="0.3">
      <c r="B112" s="161" t="s">
        <v>410</v>
      </c>
      <c r="C112" t="s">
        <v>411</v>
      </c>
      <c r="D112" s="84" t="s">
        <v>31</v>
      </c>
      <c r="E112" s="84">
        <f>IF(D112=$B$12,H112,0)</f>
        <v>0</v>
      </c>
      <c r="F112" s="84">
        <f>IF(E112&gt;0,0,1)</f>
        <v>1</v>
      </c>
      <c r="G112" s="148" t="s">
        <v>409</v>
      </c>
      <c r="H112" s="85">
        <v>12</v>
      </c>
      <c r="I112" s="85"/>
      <c r="J112" s="148" t="s">
        <v>75</v>
      </c>
      <c r="K112" s="84" t="s">
        <v>56</v>
      </c>
      <c r="L112" s="90">
        <v>3</v>
      </c>
      <c r="M112" s="96" t="s">
        <v>37</v>
      </c>
      <c r="O112" s="107">
        <f>2335+110</f>
        <v>2445</v>
      </c>
      <c r="P112" s="58">
        <f>ROUND((O112*0.4),0)</f>
        <v>978</v>
      </c>
      <c r="Q112" s="84">
        <f>IF(O112&gt;0,((O112+500)-P112)+T112,0)</f>
        <v>2082</v>
      </c>
      <c r="R112" s="57" t="s">
        <v>412</v>
      </c>
      <c r="S112" s="89">
        <v>1</v>
      </c>
      <c r="T112" s="89">
        <f>IF(U112=$AD$2,47,IF(U112=$AD$1,ROUND(((O112+500)*0.039),0),IF(U112=$AD$3,0)))</f>
        <v>115</v>
      </c>
      <c r="U112" s="87" t="str">
        <f>IF(V112=1,$AD$2,IF(V112=2,$AD$1,IF(AND(V112&lt;&gt;1,V112&lt;&gt;20)=TRUE,$AD$3)))</f>
        <v>PAYPAL</v>
      </c>
      <c r="V112" s="97">
        <v>2</v>
      </c>
      <c r="W112" s="90" t="s">
        <v>536</v>
      </c>
      <c r="X112" s="89">
        <f>Q112+P112</f>
        <v>3060</v>
      </c>
      <c r="Y112" s="89"/>
      <c r="Z112" s="58">
        <f>IF(W112=$Z$1,Q112-500,0)</f>
        <v>0</v>
      </c>
      <c r="AA112" s="58">
        <f>IF(H112&gt;0,130,0)</f>
        <v>130</v>
      </c>
      <c r="AB112" s="58"/>
      <c r="AC112" s="98">
        <f>(O112+T112)-AA112</f>
        <v>2430</v>
      </c>
      <c r="AD112" s="58"/>
      <c r="AE112" s="58">
        <f>IF(H112&gt;0,30*F112,0)</f>
        <v>30</v>
      </c>
      <c r="AF112" s="58">
        <f>IF(AG112&gt;0,AG68:AG112,0)</f>
        <v>2400</v>
      </c>
      <c r="AG112" s="58">
        <f t="shared" si="117"/>
        <v>2400</v>
      </c>
      <c r="AI112">
        <f t="shared" si="118"/>
        <v>2330</v>
      </c>
      <c r="AJ112">
        <f t="shared" si="119"/>
        <v>0</v>
      </c>
      <c r="AK112">
        <f t="shared" si="120"/>
        <v>0</v>
      </c>
      <c r="AL112">
        <f t="shared" si="121"/>
        <v>0</v>
      </c>
      <c r="AM112"/>
      <c r="AN112">
        <f t="shared" si="122"/>
        <v>2330</v>
      </c>
      <c r="AO112">
        <f t="shared" si="123"/>
        <v>0</v>
      </c>
      <c r="AP112">
        <f t="shared" si="124"/>
        <v>0</v>
      </c>
      <c r="AQ112">
        <f t="shared" si="125"/>
        <v>0</v>
      </c>
    </row>
    <row r="113" spans="2:43" s="84" customFormat="1" ht="14.45" x14ac:dyDescent="0.3">
      <c r="B113" s="148" t="s">
        <v>541</v>
      </c>
      <c r="C113" t="s">
        <v>386</v>
      </c>
      <c r="D113" s="84" t="s">
        <v>376</v>
      </c>
      <c r="E113" s="84">
        <f t="shared" si="126"/>
        <v>0</v>
      </c>
      <c r="F113" s="84">
        <f t="shared" si="127"/>
        <v>1</v>
      </c>
      <c r="G113" s="85" t="s">
        <v>385</v>
      </c>
      <c r="H113" s="85">
        <v>10</v>
      </c>
      <c r="I113" s="85"/>
      <c r="J113" s="84" t="s">
        <v>384</v>
      </c>
      <c r="K113" s="84" t="s">
        <v>56</v>
      </c>
      <c r="L113" s="90">
        <v>0</v>
      </c>
      <c r="M113" s="96" t="s">
        <v>37</v>
      </c>
      <c r="O113" s="107">
        <v>2335</v>
      </c>
      <c r="P113" s="58">
        <f t="shared" si="128"/>
        <v>934</v>
      </c>
      <c r="Q113" s="84">
        <f t="shared" si="129"/>
        <v>1983</v>
      </c>
      <c r="R113" s="57" t="s">
        <v>388</v>
      </c>
      <c r="S113" s="89">
        <v>1</v>
      </c>
      <c r="T113" s="89">
        <f>IF(U113=$AD$2,47,IF(U113=$AD$1,ROUND(((O113+500)*0.029),0),IF(U113=$AD$3,0)))</f>
        <v>82</v>
      </c>
      <c r="U113" s="87" t="str">
        <f t="shared" si="131"/>
        <v>PAYPAL</v>
      </c>
      <c r="V113" s="97">
        <v>2</v>
      </c>
      <c r="W113" s="185" t="s">
        <v>542</v>
      </c>
      <c r="X113" s="89">
        <f t="shared" si="132"/>
        <v>2917</v>
      </c>
      <c r="Y113" s="89"/>
      <c r="Z113" s="58">
        <f t="shared" si="133"/>
        <v>0</v>
      </c>
      <c r="AA113" s="58">
        <f t="shared" si="134"/>
        <v>130</v>
      </c>
      <c r="AB113" s="58"/>
      <c r="AC113" s="98">
        <f t="shared" si="135"/>
        <v>2287</v>
      </c>
      <c r="AD113" s="58"/>
      <c r="AE113" s="58">
        <f t="shared" si="136"/>
        <v>30</v>
      </c>
      <c r="AF113" s="58">
        <f>IF(AG113&gt;0,AG62:AG113,0)</f>
        <v>2257</v>
      </c>
      <c r="AG113" s="58">
        <f t="shared" si="117"/>
        <v>2257</v>
      </c>
      <c r="AI113">
        <f t="shared" si="118"/>
        <v>2253</v>
      </c>
      <c r="AJ113">
        <f t="shared" si="119"/>
        <v>0</v>
      </c>
      <c r="AK113">
        <f t="shared" si="120"/>
        <v>0</v>
      </c>
      <c r="AL113">
        <f t="shared" si="121"/>
        <v>0</v>
      </c>
      <c r="AM113"/>
      <c r="AN113">
        <f t="shared" si="122"/>
        <v>2253</v>
      </c>
      <c r="AO113">
        <f t="shared" si="123"/>
        <v>0</v>
      </c>
      <c r="AP113">
        <f t="shared" si="124"/>
        <v>0</v>
      </c>
      <c r="AQ113">
        <f t="shared" si="125"/>
        <v>0</v>
      </c>
    </row>
    <row r="114" spans="2:43" s="84" customFormat="1" ht="14.45" x14ac:dyDescent="0.3">
      <c r="B114" s="86"/>
      <c r="C114" s="86"/>
      <c r="D114" s="85"/>
      <c r="E114" s="84">
        <f t="shared" si="126"/>
        <v>0</v>
      </c>
      <c r="F114" s="84">
        <f t="shared" si="127"/>
        <v>1</v>
      </c>
      <c r="G114" s="85"/>
      <c r="H114" s="85"/>
      <c r="I114" s="85"/>
      <c r="J114" s="85"/>
      <c r="L114" s="90"/>
      <c r="M114" s="96"/>
      <c r="O114" s="107">
        <v>0</v>
      </c>
      <c r="P114" s="58">
        <f t="shared" si="128"/>
        <v>0</v>
      </c>
      <c r="Q114" s="84">
        <f t="shared" si="129"/>
        <v>0</v>
      </c>
      <c r="R114" s="57"/>
      <c r="S114" s="89"/>
      <c r="T114" s="89">
        <f t="shared" si="130"/>
        <v>0</v>
      </c>
      <c r="U114" s="87" t="str">
        <f t="shared" si="131"/>
        <v>NONE</v>
      </c>
      <c r="V114" s="97"/>
      <c r="W114" s="90"/>
      <c r="X114" s="89">
        <f t="shared" si="132"/>
        <v>0</v>
      </c>
      <c r="Y114" s="89"/>
      <c r="Z114" s="58">
        <f t="shared" si="133"/>
        <v>0</v>
      </c>
      <c r="AA114" s="58">
        <f t="shared" si="134"/>
        <v>0</v>
      </c>
      <c r="AB114" s="58"/>
      <c r="AC114" s="98">
        <f t="shared" si="135"/>
        <v>0</v>
      </c>
      <c r="AD114" s="58"/>
      <c r="AE114" s="58">
        <f t="shared" si="136"/>
        <v>0</v>
      </c>
      <c r="AF114" s="58">
        <f>IF(AG114&gt;0,AG63:AG114,0)</f>
        <v>0</v>
      </c>
      <c r="AG114" s="58">
        <f t="shared" si="117"/>
        <v>0</v>
      </c>
      <c r="AI114">
        <f t="shared" si="118"/>
        <v>0</v>
      </c>
      <c r="AJ114">
        <f t="shared" si="119"/>
        <v>0</v>
      </c>
      <c r="AK114">
        <f t="shared" si="120"/>
        <v>0</v>
      </c>
      <c r="AL114">
        <f t="shared" si="121"/>
        <v>0</v>
      </c>
      <c r="AM114"/>
      <c r="AN114">
        <f t="shared" si="122"/>
        <v>0</v>
      </c>
      <c r="AO114">
        <f t="shared" si="123"/>
        <v>0</v>
      </c>
      <c r="AP114">
        <f t="shared" si="124"/>
        <v>0</v>
      </c>
      <c r="AQ114">
        <f t="shared" si="125"/>
        <v>0</v>
      </c>
    </row>
    <row r="115" spans="2:43" s="84" customFormat="1" ht="14.45" x14ac:dyDescent="0.3">
      <c r="B115" s="103" t="s">
        <v>83</v>
      </c>
      <c r="C115" s="86" t="s">
        <v>43</v>
      </c>
      <c r="D115" s="85" t="s">
        <v>43</v>
      </c>
      <c r="E115" s="84">
        <f t="shared" si="126"/>
        <v>3</v>
      </c>
      <c r="F115" s="84">
        <f t="shared" si="127"/>
        <v>0</v>
      </c>
      <c r="G115" s="108" t="s">
        <v>485</v>
      </c>
      <c r="H115" s="85">
        <v>3</v>
      </c>
      <c r="I115" s="85"/>
      <c r="J115" s="84" t="s">
        <v>144</v>
      </c>
      <c r="K115" s="84" t="s">
        <v>56</v>
      </c>
      <c r="L115" s="90">
        <v>3</v>
      </c>
      <c r="M115" s="96" t="s">
        <v>37</v>
      </c>
      <c r="O115" s="107">
        <v>0</v>
      </c>
      <c r="P115" s="58">
        <f t="shared" si="128"/>
        <v>0</v>
      </c>
      <c r="Q115" s="84">
        <f t="shared" si="129"/>
        <v>0</v>
      </c>
      <c r="R115" s="57"/>
      <c r="S115" s="89"/>
      <c r="T115" s="89">
        <f t="shared" si="130"/>
        <v>0</v>
      </c>
      <c r="U115" s="87" t="str">
        <f t="shared" si="131"/>
        <v>NONE</v>
      </c>
      <c r="V115" s="97"/>
      <c r="W115" s="90"/>
      <c r="X115" s="89">
        <f t="shared" si="132"/>
        <v>0</v>
      </c>
      <c r="Y115" s="89"/>
      <c r="Z115" s="58">
        <f t="shared" si="133"/>
        <v>0</v>
      </c>
      <c r="AA115" s="58">
        <f t="shared" si="134"/>
        <v>130</v>
      </c>
      <c r="AB115" s="58"/>
      <c r="AC115" s="98">
        <f t="shared" si="135"/>
        <v>-130</v>
      </c>
      <c r="AD115" s="58"/>
      <c r="AE115" s="58">
        <f t="shared" si="136"/>
        <v>0</v>
      </c>
      <c r="AF115" s="58">
        <f>IF(AG115&gt;0,AG64:AG115,0)</f>
        <v>0</v>
      </c>
      <c r="AG115" s="58">
        <f t="shared" si="117"/>
        <v>-130</v>
      </c>
      <c r="AI115">
        <f t="shared" si="118"/>
        <v>0</v>
      </c>
      <c r="AJ115">
        <f t="shared" si="119"/>
        <v>0</v>
      </c>
      <c r="AK115">
        <f t="shared" si="120"/>
        <v>0</v>
      </c>
      <c r="AL115">
        <f t="shared" si="121"/>
        <v>0</v>
      </c>
      <c r="AM115"/>
      <c r="AN115">
        <f t="shared" si="122"/>
        <v>0</v>
      </c>
      <c r="AO115">
        <f t="shared" si="123"/>
        <v>0</v>
      </c>
      <c r="AP115">
        <f t="shared" si="124"/>
        <v>0</v>
      </c>
      <c r="AQ115">
        <f t="shared" si="125"/>
        <v>0</v>
      </c>
    </row>
    <row r="116" spans="2:43" s="84" customFormat="1" ht="14.45" x14ac:dyDescent="0.3">
      <c r="B116" s="84" t="s">
        <v>367</v>
      </c>
      <c r="C116" t="s">
        <v>368</v>
      </c>
      <c r="D116" s="85" t="s">
        <v>31</v>
      </c>
      <c r="E116" s="84">
        <f t="shared" si="126"/>
        <v>0</v>
      </c>
      <c r="F116" s="84">
        <f t="shared" si="127"/>
        <v>1</v>
      </c>
      <c r="G116" s="84" t="s">
        <v>495</v>
      </c>
      <c r="H116" s="85">
        <v>11</v>
      </c>
      <c r="I116" s="85"/>
      <c r="J116" s="85" t="s">
        <v>369</v>
      </c>
      <c r="K116" s="84" t="s">
        <v>56</v>
      </c>
      <c r="L116" s="90">
        <v>0</v>
      </c>
      <c r="M116" s="96" t="s">
        <v>37</v>
      </c>
      <c r="O116" s="107">
        <v>2646</v>
      </c>
      <c r="P116" s="58">
        <f t="shared" si="128"/>
        <v>1058</v>
      </c>
      <c r="Q116" s="84">
        <f t="shared" si="129"/>
        <v>2211</v>
      </c>
      <c r="R116" s="57" t="s">
        <v>370</v>
      </c>
      <c r="S116" s="89">
        <v>1</v>
      </c>
      <c r="T116" s="89">
        <f t="shared" si="130"/>
        <v>123</v>
      </c>
      <c r="U116" s="87" t="str">
        <f t="shared" si="131"/>
        <v>PAYPAL</v>
      </c>
      <c r="V116" s="97">
        <v>2</v>
      </c>
      <c r="W116" s="109" t="s">
        <v>26</v>
      </c>
      <c r="X116" s="89">
        <f t="shared" si="132"/>
        <v>3269</v>
      </c>
      <c r="Y116" s="89"/>
      <c r="Z116" s="58">
        <f t="shared" si="133"/>
        <v>0</v>
      </c>
      <c r="AA116" s="58">
        <f t="shared" si="134"/>
        <v>130</v>
      </c>
      <c r="AB116" s="58"/>
      <c r="AC116" s="98">
        <f t="shared" si="135"/>
        <v>2639</v>
      </c>
      <c r="AD116" s="58"/>
      <c r="AE116" s="58">
        <f t="shared" si="136"/>
        <v>30</v>
      </c>
      <c r="AF116" s="58">
        <f>IF(AG116&gt;0,AG65:AG116,0)</f>
        <v>2609</v>
      </c>
      <c r="AG116" s="58">
        <f t="shared" si="117"/>
        <v>2609</v>
      </c>
      <c r="AI116">
        <f t="shared" si="118"/>
        <v>2523</v>
      </c>
      <c r="AJ116">
        <f t="shared" si="119"/>
        <v>0</v>
      </c>
      <c r="AK116">
        <f t="shared" si="120"/>
        <v>0</v>
      </c>
      <c r="AL116">
        <f t="shared" si="121"/>
        <v>0</v>
      </c>
      <c r="AM116"/>
      <c r="AN116">
        <f t="shared" si="122"/>
        <v>2523</v>
      </c>
      <c r="AO116">
        <f t="shared" si="123"/>
        <v>0</v>
      </c>
      <c r="AP116">
        <f t="shared" si="124"/>
        <v>0</v>
      </c>
      <c r="AQ116">
        <f t="shared" si="125"/>
        <v>0</v>
      </c>
    </row>
    <row r="117" spans="2:43" s="84" customFormat="1" ht="14.45" x14ac:dyDescent="0.3">
      <c r="B117" s="103" t="s">
        <v>83</v>
      </c>
      <c r="C117" s="86" t="s">
        <v>43</v>
      </c>
      <c r="D117" s="85" t="s">
        <v>43</v>
      </c>
      <c r="E117" s="84">
        <f t="shared" si="126"/>
        <v>9</v>
      </c>
      <c r="F117" s="84">
        <f t="shared" si="127"/>
        <v>0</v>
      </c>
      <c r="G117" s="108" t="s">
        <v>389</v>
      </c>
      <c r="H117" s="85">
        <v>9</v>
      </c>
      <c r="I117" s="85"/>
      <c r="J117" s="84" t="s">
        <v>64</v>
      </c>
      <c r="K117" s="84" t="s">
        <v>56</v>
      </c>
      <c r="L117" s="90">
        <v>3</v>
      </c>
      <c r="M117" s="96" t="s">
        <v>37</v>
      </c>
      <c r="O117" s="107">
        <v>0</v>
      </c>
      <c r="P117" s="58">
        <f t="shared" si="128"/>
        <v>0</v>
      </c>
      <c r="Q117" s="84">
        <f t="shared" si="129"/>
        <v>0</v>
      </c>
      <c r="R117" s="57"/>
      <c r="S117" s="89"/>
      <c r="T117" s="89">
        <f t="shared" si="130"/>
        <v>0</v>
      </c>
      <c r="U117" s="87" t="str">
        <f t="shared" si="131"/>
        <v>NONE</v>
      </c>
      <c r="V117" s="97"/>
      <c r="W117" s="90"/>
      <c r="X117" s="89">
        <f t="shared" si="132"/>
        <v>0</v>
      </c>
      <c r="Y117" s="89"/>
      <c r="Z117" s="58">
        <f t="shared" si="133"/>
        <v>0</v>
      </c>
      <c r="AA117" s="58">
        <f t="shared" si="134"/>
        <v>130</v>
      </c>
      <c r="AB117" s="58"/>
      <c r="AC117" s="98">
        <f t="shared" si="135"/>
        <v>-130</v>
      </c>
      <c r="AD117" s="58"/>
      <c r="AE117" s="58">
        <f t="shared" si="136"/>
        <v>0</v>
      </c>
      <c r="AF117" s="58">
        <f>IF(AG117&gt;0,AG69:AG117,0)</f>
        <v>0</v>
      </c>
      <c r="AG117" s="58">
        <f t="shared" si="117"/>
        <v>-130</v>
      </c>
      <c r="AI117">
        <f t="shared" si="118"/>
        <v>0</v>
      </c>
      <c r="AJ117">
        <f t="shared" si="119"/>
        <v>0</v>
      </c>
      <c r="AK117">
        <f t="shared" si="120"/>
        <v>0</v>
      </c>
      <c r="AL117">
        <f t="shared" si="121"/>
        <v>0</v>
      </c>
      <c r="AM117"/>
      <c r="AN117">
        <f t="shared" si="122"/>
        <v>0</v>
      </c>
      <c r="AO117">
        <f t="shared" si="123"/>
        <v>0</v>
      </c>
      <c r="AP117">
        <f t="shared" si="124"/>
        <v>0</v>
      </c>
      <c r="AQ117">
        <f t="shared" si="125"/>
        <v>0</v>
      </c>
    </row>
    <row r="118" spans="2:43" ht="14.45" x14ac:dyDescent="0.3">
      <c r="B118" s="84" t="s">
        <v>434</v>
      </c>
      <c r="C118" t="s">
        <v>435</v>
      </c>
      <c r="D118" s="85" t="s">
        <v>31</v>
      </c>
      <c r="E118" s="84">
        <f>IF(D118=$B$12,H118,0)</f>
        <v>0</v>
      </c>
      <c r="F118" s="84">
        <f>IF(E118&gt;0,0,1)</f>
        <v>1</v>
      </c>
      <c r="G118" s="85" t="s">
        <v>436</v>
      </c>
      <c r="H118" s="85">
        <v>7</v>
      </c>
      <c r="I118" s="85"/>
      <c r="J118" s="85" t="s">
        <v>188</v>
      </c>
      <c r="K118" s="84" t="s">
        <v>56</v>
      </c>
      <c r="L118" s="90">
        <v>0</v>
      </c>
      <c r="M118" s="96" t="s">
        <v>37</v>
      </c>
      <c r="N118" s="84"/>
      <c r="O118" s="107">
        <v>1759</v>
      </c>
      <c r="P118" s="58">
        <f>ROUND((O118*0.4),0)</f>
        <v>704</v>
      </c>
      <c r="Q118" s="84">
        <f>IF(O118&gt;0,((O118+500)-P118)+T118,0)</f>
        <v>1643</v>
      </c>
      <c r="R118" s="57" t="s">
        <v>437</v>
      </c>
      <c r="S118" s="89">
        <v>2</v>
      </c>
      <c r="T118" s="89">
        <f>IF(U118=$AD$2,47,IF(U118=$AD$1,ROUND(((O118+500)*0.039),0),IF(U118=$AD$3,0)))</f>
        <v>88</v>
      </c>
      <c r="U118" s="87" t="str">
        <f>IF(V118=1,$AD$2,IF(V118=2,$AD$1,IF(AND(V118&lt;&gt;1,V118&lt;&gt;20)=TRUE,$AD$3)))</f>
        <v>PAYPAL</v>
      </c>
      <c r="V118" s="97">
        <v>2</v>
      </c>
      <c r="W118" s="90" t="s">
        <v>567</v>
      </c>
      <c r="X118" s="89">
        <f>Q118+P118</f>
        <v>2347</v>
      </c>
      <c r="Y118" s="89"/>
      <c r="Z118" s="58">
        <f>IF(W118=$Z$1,Q118-500,0)</f>
        <v>0</v>
      </c>
      <c r="AA118" s="58">
        <f>IF(H118&gt;0,130,0)</f>
        <v>130</v>
      </c>
      <c r="AB118" s="58"/>
      <c r="AC118" s="98">
        <f>(O118+T118)-AA118</f>
        <v>1717</v>
      </c>
      <c r="AD118" s="58"/>
      <c r="AE118" s="58">
        <f>IF(H118&gt;0,30*F118,0)</f>
        <v>30</v>
      </c>
      <c r="AF118" s="58">
        <f>IF(AG118&gt;0,AG71:AG118,0)</f>
        <v>1687</v>
      </c>
      <c r="AG118" s="58">
        <f>AC118-AE118</f>
        <v>1687</v>
      </c>
      <c r="AI118">
        <f t="shared" si="118"/>
        <v>0</v>
      </c>
      <c r="AJ118">
        <f t="shared" si="119"/>
        <v>1671</v>
      </c>
      <c r="AK118">
        <f t="shared" si="120"/>
        <v>0</v>
      </c>
      <c r="AL118">
        <f t="shared" si="121"/>
        <v>0</v>
      </c>
      <c r="AN118">
        <f t="shared" si="122"/>
        <v>0</v>
      </c>
      <c r="AO118">
        <f t="shared" si="123"/>
        <v>1671</v>
      </c>
      <c r="AP118">
        <f t="shared" si="124"/>
        <v>0</v>
      </c>
      <c r="AQ118">
        <f t="shared" si="125"/>
        <v>0</v>
      </c>
    </row>
    <row r="119" spans="2:43" ht="14.45" x14ac:dyDescent="0.3">
      <c r="B119" s="147" t="s">
        <v>421</v>
      </c>
      <c r="C119" t="s">
        <v>420</v>
      </c>
      <c r="D119" s="84" t="s">
        <v>376</v>
      </c>
      <c r="E119" s="84">
        <f>IF(D119=$B$12,H119,0)</f>
        <v>0</v>
      </c>
      <c r="F119" s="84">
        <f>IF(E119&gt;0,0,1)</f>
        <v>1</v>
      </c>
      <c r="G119" s="84" t="s">
        <v>566</v>
      </c>
      <c r="H119" s="85">
        <v>6</v>
      </c>
      <c r="I119" s="85"/>
      <c r="J119" s="84" t="s">
        <v>419</v>
      </c>
      <c r="K119" s="84" t="s">
        <v>56</v>
      </c>
      <c r="L119" s="90">
        <v>0</v>
      </c>
      <c r="M119" s="96" t="s">
        <v>37</v>
      </c>
      <c r="N119" s="84"/>
      <c r="O119" s="107">
        <v>1629</v>
      </c>
      <c r="P119" s="58">
        <f>ROUND((O119*0.4),0)</f>
        <v>652</v>
      </c>
      <c r="Q119" s="84">
        <f>IF(O119&gt;0,((O119+500)-P119)+T119,0)</f>
        <v>1560</v>
      </c>
      <c r="R119" s="57" t="s">
        <v>422</v>
      </c>
      <c r="S119" s="89">
        <v>2</v>
      </c>
      <c r="T119" s="89">
        <f>IF(U119=$AD$2,47,IF(U119=$AD$1,ROUND(((O119+500)*0.039),0),IF(U119=$AD$3,0)))</f>
        <v>83</v>
      </c>
      <c r="U119" s="87" t="str">
        <f>IF(V119=1,$AD$2,IF(V119=2,$AD$1,IF(AND(V119&lt;&gt;1,V119&lt;&gt;20)=TRUE,$AD$3)))</f>
        <v>PAYPAL</v>
      </c>
      <c r="V119" s="97">
        <v>2</v>
      </c>
      <c r="W119" s="90" t="s">
        <v>473</v>
      </c>
      <c r="X119" s="89">
        <f>Q119+P119</f>
        <v>2212</v>
      </c>
      <c r="Y119" s="89"/>
      <c r="Z119" s="58">
        <f>IF(W119=$Z$1,Q119-500,0)</f>
        <v>0</v>
      </c>
      <c r="AA119" s="58">
        <f>IF(H119&gt;0,130,0)</f>
        <v>130</v>
      </c>
      <c r="AB119" s="58"/>
      <c r="AC119" s="98">
        <f>(O119+T119)-AA119</f>
        <v>1582</v>
      </c>
      <c r="AD119" s="58"/>
      <c r="AE119" s="58">
        <f>IF(H119&gt;0,30*F119,0)</f>
        <v>30</v>
      </c>
      <c r="AF119" s="58">
        <f>IF(AG119&gt;0,AG70:AG119,0)</f>
        <v>1552</v>
      </c>
      <c r="AG119" s="58">
        <f t="shared" si="117"/>
        <v>1552</v>
      </c>
      <c r="AI119">
        <f t="shared" si="118"/>
        <v>0</v>
      </c>
      <c r="AJ119">
        <f t="shared" si="119"/>
        <v>1546</v>
      </c>
      <c r="AK119">
        <f t="shared" si="120"/>
        <v>0</v>
      </c>
      <c r="AL119">
        <f t="shared" si="121"/>
        <v>0</v>
      </c>
      <c r="AN119">
        <f t="shared" si="122"/>
        <v>0</v>
      </c>
      <c r="AO119">
        <f t="shared" si="123"/>
        <v>1546</v>
      </c>
      <c r="AP119">
        <f t="shared" si="124"/>
        <v>0</v>
      </c>
      <c r="AQ119">
        <f t="shared" si="125"/>
        <v>0</v>
      </c>
    </row>
    <row r="120" spans="2:43" s="84" customFormat="1" ht="14.45" x14ac:dyDescent="0.3">
      <c r="B120" s="183" t="s">
        <v>307</v>
      </c>
      <c r="C120" t="s">
        <v>308</v>
      </c>
      <c r="D120" s="85" t="s">
        <v>31</v>
      </c>
      <c r="E120" s="84">
        <f t="shared" si="126"/>
        <v>0</v>
      </c>
      <c r="F120" s="84">
        <f t="shared" si="127"/>
        <v>1</v>
      </c>
      <c r="G120" s="104" t="s">
        <v>309</v>
      </c>
      <c r="H120" s="85">
        <v>16</v>
      </c>
      <c r="I120" s="85"/>
      <c r="J120" s="85" t="s">
        <v>109</v>
      </c>
      <c r="K120" s="84" t="s">
        <v>56</v>
      </c>
      <c r="L120" s="90">
        <v>0</v>
      </c>
      <c r="M120" s="96" t="s">
        <v>37</v>
      </c>
      <c r="O120" s="107">
        <v>3274</v>
      </c>
      <c r="P120" s="58">
        <f t="shared" si="128"/>
        <v>1310</v>
      </c>
      <c r="Q120" s="84">
        <f t="shared" si="129"/>
        <v>2511</v>
      </c>
      <c r="R120" s="57" t="s">
        <v>310</v>
      </c>
      <c r="S120" s="89">
        <v>2</v>
      </c>
      <c r="T120" s="89">
        <f t="shared" si="130"/>
        <v>47</v>
      </c>
      <c r="U120" s="87" t="str">
        <f t="shared" si="131"/>
        <v>BANK</v>
      </c>
      <c r="V120" s="97">
        <v>1</v>
      </c>
      <c r="W120" s="109" t="s">
        <v>26</v>
      </c>
      <c r="X120" s="89">
        <f t="shared" si="132"/>
        <v>3821</v>
      </c>
      <c r="Y120" s="89"/>
      <c r="Z120" s="58">
        <f t="shared" si="133"/>
        <v>0</v>
      </c>
      <c r="AA120" s="58">
        <f t="shared" si="134"/>
        <v>130</v>
      </c>
      <c r="AB120" s="58"/>
      <c r="AC120" s="98">
        <f t="shared" si="135"/>
        <v>3191</v>
      </c>
      <c r="AD120" s="58"/>
      <c r="AE120" s="58">
        <f t="shared" si="136"/>
        <v>30</v>
      </c>
      <c r="AF120" s="58">
        <f>IF(AG120&gt;0,AG71:AG120,0)</f>
        <v>3161</v>
      </c>
      <c r="AG120" s="58">
        <f t="shared" si="117"/>
        <v>3161</v>
      </c>
      <c r="AI120" s="84">
        <f t="shared" si="118"/>
        <v>0</v>
      </c>
      <c r="AJ120" s="84">
        <f t="shared" si="119"/>
        <v>3227</v>
      </c>
      <c r="AK120" s="84">
        <f t="shared" si="120"/>
        <v>0</v>
      </c>
      <c r="AL120" s="84">
        <f t="shared" si="121"/>
        <v>0</v>
      </c>
      <c r="AN120" s="84">
        <f t="shared" si="122"/>
        <v>0</v>
      </c>
      <c r="AO120" s="84">
        <f t="shared" si="123"/>
        <v>3227</v>
      </c>
      <c r="AP120" s="84">
        <f t="shared" si="124"/>
        <v>0</v>
      </c>
      <c r="AQ120" s="84">
        <f t="shared" si="125"/>
        <v>0</v>
      </c>
    </row>
    <row r="121" spans="2:43" s="84" customFormat="1" ht="14.45" x14ac:dyDescent="0.3">
      <c r="B121" s="103" t="s">
        <v>83</v>
      </c>
      <c r="C121" s="86" t="s">
        <v>43</v>
      </c>
      <c r="D121" s="85" t="s">
        <v>43</v>
      </c>
      <c r="E121" s="84">
        <f t="shared" ref="E121" si="137">IF(D121=$B$12,H121,0)</f>
        <v>3</v>
      </c>
      <c r="F121" s="84">
        <f t="shared" ref="F121" si="138">IF(E121&gt;0,0,1)</f>
        <v>0</v>
      </c>
      <c r="G121" s="108" t="s">
        <v>445</v>
      </c>
      <c r="H121" s="85">
        <v>3</v>
      </c>
      <c r="I121" s="85"/>
      <c r="J121" s="84" t="s">
        <v>64</v>
      </c>
      <c r="K121" s="84" t="s">
        <v>56</v>
      </c>
      <c r="L121" s="90">
        <v>3</v>
      </c>
      <c r="M121" s="96" t="s">
        <v>37</v>
      </c>
      <c r="O121" s="107">
        <v>0</v>
      </c>
      <c r="P121" s="58">
        <f>ROUND((O121*0.4),0)</f>
        <v>0</v>
      </c>
      <c r="Q121" s="84">
        <f>IF(O121&gt;0,((O121+500)-P121)+T121,0)</f>
        <v>0</v>
      </c>
      <c r="R121" s="57"/>
      <c r="S121" s="89"/>
      <c r="T121" s="89">
        <f>IF(U121=$AD$2,47,IF(U121=$AD$1,ROUND(((O121+500)*0.039),0),IF(U121=$AD$3,0)))</f>
        <v>0</v>
      </c>
      <c r="U121" s="87" t="str">
        <f>IF(V121=1,$AD$2,IF(V121=2,$AD$1,IF(AND(V121&lt;&gt;1,V121&lt;&gt;20)=TRUE,$AD$3)))</f>
        <v>NONE</v>
      </c>
      <c r="V121" s="97"/>
      <c r="W121" s="90"/>
      <c r="X121" s="89">
        <f>Q121+P121</f>
        <v>0</v>
      </c>
      <c r="Y121" s="89"/>
      <c r="Z121" s="58">
        <f>IF(W121=$Z$1,Q121-500,0)</f>
        <v>0</v>
      </c>
      <c r="AA121" s="58">
        <f>IF(H121&gt;0,130,0)</f>
        <v>130</v>
      </c>
      <c r="AB121" s="58"/>
      <c r="AC121" s="98">
        <f>(O121+T121)-AA121</f>
        <v>-130</v>
      </c>
      <c r="AD121" s="58"/>
      <c r="AE121" s="58">
        <f>IF(H121&gt;0,30*F121,0)</f>
        <v>0</v>
      </c>
      <c r="AF121" s="58">
        <f>IF(AG121&gt;0,AG70:AG121,0)</f>
        <v>0</v>
      </c>
      <c r="AG121" s="58">
        <f t="shared" si="117"/>
        <v>-130</v>
      </c>
      <c r="AI121">
        <f t="shared" si="118"/>
        <v>0</v>
      </c>
      <c r="AJ121">
        <f t="shared" si="119"/>
        <v>0</v>
      </c>
      <c r="AK121">
        <f t="shared" si="120"/>
        <v>0</v>
      </c>
      <c r="AL121">
        <f t="shared" si="121"/>
        <v>0</v>
      </c>
      <c r="AM121"/>
      <c r="AN121">
        <f t="shared" si="122"/>
        <v>0</v>
      </c>
      <c r="AO121">
        <f t="shared" si="123"/>
        <v>0</v>
      </c>
      <c r="AP121">
        <f t="shared" si="124"/>
        <v>0</v>
      </c>
      <c r="AQ121">
        <f t="shared" si="125"/>
        <v>0</v>
      </c>
    </row>
    <row r="122" spans="2:43" s="84" customFormat="1" ht="14.45" x14ac:dyDescent="0.3">
      <c r="B122" s="147" t="s">
        <v>431</v>
      </c>
      <c r="C122" t="s">
        <v>432</v>
      </c>
      <c r="D122" s="85" t="s">
        <v>376</v>
      </c>
      <c r="E122" s="84">
        <f t="shared" si="126"/>
        <v>0</v>
      </c>
      <c r="F122" s="84">
        <f t="shared" si="127"/>
        <v>1</v>
      </c>
      <c r="G122" s="85" t="s">
        <v>433</v>
      </c>
      <c r="H122" s="85">
        <v>14</v>
      </c>
      <c r="I122" s="85"/>
      <c r="J122" s="84" t="s">
        <v>99</v>
      </c>
      <c r="K122" s="84" t="s">
        <v>56</v>
      </c>
      <c r="L122" s="90">
        <v>0</v>
      </c>
      <c r="M122" s="96" t="s">
        <v>37</v>
      </c>
      <c r="O122" s="107">
        <v>2805</v>
      </c>
      <c r="P122" s="58">
        <f t="shared" si="128"/>
        <v>1122</v>
      </c>
      <c r="Q122" s="84">
        <f t="shared" si="129"/>
        <v>2312</v>
      </c>
      <c r="R122" s="57" t="s">
        <v>480</v>
      </c>
      <c r="S122" s="89">
        <v>2</v>
      </c>
      <c r="T122" s="89">
        <f t="shared" si="130"/>
        <v>129</v>
      </c>
      <c r="U122" s="87" t="str">
        <f t="shared" si="131"/>
        <v>PAYPAL</v>
      </c>
      <c r="V122" s="97">
        <v>2</v>
      </c>
      <c r="W122" s="90" t="s">
        <v>568</v>
      </c>
      <c r="X122" s="89">
        <f t="shared" si="132"/>
        <v>3434</v>
      </c>
      <c r="Y122" s="89"/>
      <c r="Z122" s="58">
        <f t="shared" si="133"/>
        <v>0</v>
      </c>
      <c r="AA122" s="58">
        <f t="shared" si="134"/>
        <v>130</v>
      </c>
      <c r="AB122" s="58"/>
      <c r="AC122" s="98">
        <f t="shared" si="135"/>
        <v>2804</v>
      </c>
      <c r="AD122" s="58"/>
      <c r="AE122" s="58">
        <f t="shared" si="136"/>
        <v>30</v>
      </c>
      <c r="AF122" s="58">
        <f>IF(AG122&gt;0,AG72:AG122,0)</f>
        <v>2774</v>
      </c>
      <c r="AG122" s="58">
        <f t="shared" si="117"/>
        <v>2774</v>
      </c>
      <c r="AI122">
        <f t="shared" si="118"/>
        <v>0</v>
      </c>
      <c r="AJ122">
        <f t="shared" si="119"/>
        <v>2676</v>
      </c>
      <c r="AK122">
        <f t="shared" si="120"/>
        <v>0</v>
      </c>
      <c r="AL122">
        <f t="shared" si="121"/>
        <v>0</v>
      </c>
      <c r="AM122"/>
      <c r="AN122">
        <f t="shared" si="122"/>
        <v>0</v>
      </c>
      <c r="AO122">
        <f t="shared" si="123"/>
        <v>2676</v>
      </c>
      <c r="AP122">
        <f t="shared" si="124"/>
        <v>0</v>
      </c>
      <c r="AQ122">
        <f t="shared" si="125"/>
        <v>0</v>
      </c>
    </row>
    <row r="123" spans="2:43" ht="15.6" x14ac:dyDescent="0.3">
      <c r="B123" s="173" t="s">
        <v>474</v>
      </c>
      <c r="C123" t="s">
        <v>475</v>
      </c>
      <c r="D123" s="85" t="s">
        <v>62</v>
      </c>
      <c r="E123" s="84">
        <f>IF(D123=$B$12,H123,0)</f>
        <v>0</v>
      </c>
      <c r="F123" s="84">
        <f>IF(E123&gt;0,0,1)</f>
        <v>1</v>
      </c>
      <c r="G123" s="85" t="s">
        <v>476</v>
      </c>
      <c r="H123" s="85">
        <v>14</v>
      </c>
      <c r="I123" s="85"/>
      <c r="J123" s="85" t="s">
        <v>188</v>
      </c>
      <c r="K123" s="84" t="s">
        <v>56</v>
      </c>
      <c r="L123" s="90">
        <v>0</v>
      </c>
      <c r="M123" s="96" t="s">
        <v>37</v>
      </c>
      <c r="N123" s="84"/>
      <c r="O123" s="107">
        <v>2268</v>
      </c>
      <c r="P123" s="58">
        <f>ROUND((O123*0.4),0)</f>
        <v>907</v>
      </c>
      <c r="Q123" s="84">
        <f>IF(O123&gt;0,((O123+500)-P123)+T123,0)</f>
        <v>1969</v>
      </c>
      <c r="R123" s="57" t="s">
        <v>477</v>
      </c>
      <c r="S123" s="89">
        <v>2</v>
      </c>
      <c r="T123" s="89">
        <f>IF(U123=$AD$2,47,IF(U123=$AD$1,ROUND(((O123+500)*0.039),0),IF(U123=$AD$3,0)))</f>
        <v>108</v>
      </c>
      <c r="U123" s="87" t="str">
        <f>IF(V123=1,$AD$2,IF(V123=2,$AD$1,IF(AND(V123&lt;&gt;1,V123&lt;&gt;20)=TRUE,$AD$3)))</f>
        <v>PAYPAL</v>
      </c>
      <c r="V123" s="97">
        <v>2</v>
      </c>
      <c r="W123" s="90" t="s">
        <v>26</v>
      </c>
      <c r="X123" s="89">
        <f>Q123+P123</f>
        <v>2876</v>
      </c>
      <c r="Y123" s="89"/>
      <c r="Z123" s="58">
        <f>IF(W123=$Z$1,Q123-500,0)</f>
        <v>0</v>
      </c>
      <c r="AA123" s="58">
        <f>IF(H123&gt;0,130,0)</f>
        <v>130</v>
      </c>
      <c r="AB123" s="58"/>
      <c r="AC123" s="98">
        <f>(O123+T123)-AA123</f>
        <v>2246</v>
      </c>
      <c r="AD123" s="58"/>
      <c r="AE123" s="58">
        <f>IF(H123&gt;0,30*F123,0)</f>
        <v>30</v>
      </c>
      <c r="AF123" s="58">
        <f>IF(AG123&gt;0,AG71:AG123,0)</f>
        <v>2216</v>
      </c>
      <c r="AG123" s="58">
        <f>AC123-AE123</f>
        <v>2216</v>
      </c>
      <c r="AI123">
        <f>IF(S123=1,O123-T123,0)</f>
        <v>0</v>
      </c>
      <c r="AJ123">
        <f>IF(S123=2,O123-T123,0)</f>
        <v>2160</v>
      </c>
      <c r="AK123">
        <f>IF(S123=3,O123-T123,0)</f>
        <v>0</v>
      </c>
      <c r="AL123">
        <f>IF(S123=4,O123-T123,0)</f>
        <v>0</v>
      </c>
      <c r="AN123">
        <f>IF(S123=1,O123-T123,0)</f>
        <v>0</v>
      </c>
      <c r="AO123">
        <f>IF(S123=2,O123-T123,0)</f>
        <v>2160</v>
      </c>
      <c r="AP123">
        <f>IF(S123=3,O123-T123,0)</f>
        <v>0</v>
      </c>
      <c r="AQ123">
        <f>IF(S123=4,O123-T123,0)</f>
        <v>0</v>
      </c>
    </row>
    <row r="124" spans="2:43" ht="14.45" x14ac:dyDescent="0.3">
      <c r="B124" s="84" t="s">
        <v>455</v>
      </c>
      <c r="C124" t="s">
        <v>456</v>
      </c>
      <c r="D124" s="84" t="s">
        <v>31</v>
      </c>
      <c r="E124" s="84">
        <f>IF(D124=$B$12,H124,0)</f>
        <v>0</v>
      </c>
      <c r="F124" s="84">
        <f>IF(E124&gt;0,0,1)</f>
        <v>1</v>
      </c>
      <c r="G124" s="84" t="s">
        <v>457</v>
      </c>
      <c r="H124" s="85">
        <v>10</v>
      </c>
      <c r="I124" s="85"/>
      <c r="J124" s="84" t="s">
        <v>458</v>
      </c>
      <c r="K124" s="84" t="s">
        <v>56</v>
      </c>
      <c r="L124" s="90">
        <v>0</v>
      </c>
      <c r="M124" s="96" t="s">
        <v>37</v>
      </c>
      <c r="N124" s="84"/>
      <c r="O124" s="107">
        <v>1816</v>
      </c>
      <c r="P124" s="58">
        <f>ROUND((O124*0.4),0)</f>
        <v>726</v>
      </c>
      <c r="Q124" s="84">
        <f>IF(O124&gt;0,((O124+500)-P124)+T124,0)</f>
        <v>1680</v>
      </c>
      <c r="R124" s="57" t="s">
        <v>459</v>
      </c>
      <c r="S124" s="89">
        <v>3</v>
      </c>
      <c r="T124" s="89">
        <f>IF(U124=$AD$2,47,IF(U124=$AD$1,ROUND(((O124+500)*0.039),0),IF(U124=$AD$3,0)))</f>
        <v>90</v>
      </c>
      <c r="U124" s="87" t="str">
        <f>IF(V124=1,$AD$2,IF(V124=2,$AD$1,IF(AND(V124&lt;&gt;1,V124&lt;&gt;20)=TRUE,$AD$3)))</f>
        <v>PAYPAL</v>
      </c>
      <c r="V124" s="97">
        <v>2</v>
      </c>
      <c r="W124" s="109" t="s">
        <v>26</v>
      </c>
      <c r="X124" s="89">
        <f>Q124+P124</f>
        <v>2406</v>
      </c>
      <c r="Y124" s="89"/>
      <c r="Z124" s="58">
        <f>IF(W124=$Z$1,Q124-500,0)</f>
        <v>0</v>
      </c>
      <c r="AA124" s="58">
        <f>IF(H124&gt;0,130,0)</f>
        <v>130</v>
      </c>
      <c r="AB124" s="58"/>
      <c r="AC124" s="98">
        <f>(O124+T124)-AA124</f>
        <v>1776</v>
      </c>
      <c r="AD124" s="58"/>
      <c r="AE124" s="58">
        <f>IF(H124&gt;0,30*F124,0)</f>
        <v>30</v>
      </c>
      <c r="AF124" s="58">
        <f>IF(AG124&gt;0,AG73:AG124,0)</f>
        <v>1746</v>
      </c>
      <c r="AG124" s="58">
        <f>AC124-AE124</f>
        <v>1746</v>
      </c>
      <c r="AI124">
        <f>IF(S124=1,O124-T124,0)</f>
        <v>0</v>
      </c>
      <c r="AJ124">
        <f>IF(S124=2,O124-T124,0)</f>
        <v>0</v>
      </c>
      <c r="AK124">
        <f>IF(S124=3,O124-T124,0)</f>
        <v>1726</v>
      </c>
      <c r="AL124">
        <f>IF(S124=4,O124-T124,0)</f>
        <v>0</v>
      </c>
      <c r="AN124">
        <f>IF(S124=1,O124-T124,0)</f>
        <v>0</v>
      </c>
      <c r="AO124">
        <f>IF(S124=2,O124-T124,0)</f>
        <v>0</v>
      </c>
      <c r="AP124">
        <f>IF(S124=3,O124-T124,0)</f>
        <v>1726</v>
      </c>
      <c r="AQ124">
        <f>IF(S124=4,O124-T124,0)</f>
        <v>0</v>
      </c>
    </row>
    <row r="125" spans="2:43" ht="14.45" x14ac:dyDescent="0.3">
      <c r="B125" s="86" t="s">
        <v>562</v>
      </c>
      <c r="C125" t="s">
        <v>460</v>
      </c>
      <c r="D125" s="84" t="s">
        <v>31</v>
      </c>
      <c r="E125" s="84">
        <f>IF(D125=$B$12,H125,0)</f>
        <v>0</v>
      </c>
      <c r="F125" s="84">
        <f>IF(E125&gt;0,0,1)</f>
        <v>1</v>
      </c>
      <c r="G125" s="189" t="s">
        <v>461</v>
      </c>
      <c r="H125" s="85">
        <v>14</v>
      </c>
      <c r="I125" s="85"/>
      <c r="J125" s="84" t="s">
        <v>75</v>
      </c>
      <c r="K125" s="84" t="s">
        <v>56</v>
      </c>
      <c r="L125" s="90">
        <v>0</v>
      </c>
      <c r="M125" s="96" t="s">
        <v>37</v>
      </c>
      <c r="N125" s="84"/>
      <c r="O125" s="107">
        <v>2219</v>
      </c>
      <c r="P125" s="58">
        <f>ROUND((O125*0.4),0)</f>
        <v>888</v>
      </c>
      <c r="Q125" s="84">
        <f>IF(O125&gt;0,((O125+500)-P125)+T125,0)</f>
        <v>1937</v>
      </c>
      <c r="R125" s="57" t="s">
        <v>462</v>
      </c>
      <c r="S125" s="89">
        <v>3</v>
      </c>
      <c r="T125" s="89">
        <f>IF(U125=$AD$2,47,IF(U125=$AD$1,ROUND(((O125+500)*0.039),0),IF(U125=$AD$3,0)))</f>
        <v>106</v>
      </c>
      <c r="U125" s="87" t="str">
        <f>IF(V125=1,$AD$2,IF(V125=2,$AD$1,IF(AND(V125&lt;&gt;1,V125&lt;&gt;20)=TRUE,$AD$3)))</f>
        <v>PAYPAL</v>
      </c>
      <c r="V125" s="97">
        <v>2</v>
      </c>
      <c r="W125" s="90" t="s">
        <v>561</v>
      </c>
      <c r="X125" s="89">
        <f>Q125+P125</f>
        <v>2825</v>
      </c>
      <c r="Y125" s="89"/>
      <c r="Z125" s="58">
        <f>IF(W125=$Z$1,Q125-500,0)</f>
        <v>0</v>
      </c>
      <c r="AA125" s="58">
        <f>IF(H125&gt;0,130,0)</f>
        <v>130</v>
      </c>
      <c r="AB125" s="58"/>
      <c r="AC125" s="98">
        <f>(O125+T125)-AA125</f>
        <v>2195</v>
      </c>
      <c r="AD125" s="58"/>
      <c r="AE125" s="58">
        <f>IF(H125&gt;0,30*F125,0)</f>
        <v>30</v>
      </c>
      <c r="AF125" s="58">
        <f>IF(AG125&gt;0,AG73:AG125,0)</f>
        <v>2165</v>
      </c>
      <c r="AG125" s="58">
        <f>AC125-AE125</f>
        <v>2165</v>
      </c>
      <c r="AI125">
        <f>IF(S125=1,O125-T125,0)</f>
        <v>0</v>
      </c>
      <c r="AJ125">
        <f>IF(S125=2,O125-T125,0)</f>
        <v>0</v>
      </c>
      <c r="AK125">
        <f>IF(S125=3,O125-T125,0)</f>
        <v>2113</v>
      </c>
      <c r="AL125">
        <f>IF(S125=4,O125-T125,0)</f>
        <v>0</v>
      </c>
      <c r="AN125">
        <f>IF(S125=1,O125-T125,0)</f>
        <v>0</v>
      </c>
      <c r="AO125">
        <f>IF(S125=2,O125-T125,0)</f>
        <v>0</v>
      </c>
      <c r="AP125">
        <f>IF(S125=3,O125-T125,0)</f>
        <v>2113</v>
      </c>
      <c r="AQ125">
        <f>IF(S125=4,O125-T125,0)</f>
        <v>0</v>
      </c>
    </row>
    <row r="126" spans="2:43" s="84" customFormat="1" ht="14.45" x14ac:dyDescent="0.3">
      <c r="B126" s="110" t="s">
        <v>83</v>
      </c>
      <c r="C126" s="86" t="s">
        <v>43</v>
      </c>
      <c r="D126" s="85" t="s">
        <v>43</v>
      </c>
      <c r="E126" s="84">
        <f t="shared" si="126"/>
        <v>22</v>
      </c>
      <c r="F126" s="84">
        <f t="shared" si="127"/>
        <v>0</v>
      </c>
      <c r="G126" s="108" t="s">
        <v>527</v>
      </c>
      <c r="H126" s="85">
        <v>22</v>
      </c>
      <c r="I126" s="85"/>
      <c r="J126" s="84" t="s">
        <v>64</v>
      </c>
      <c r="K126" s="84" t="s">
        <v>56</v>
      </c>
      <c r="L126" s="90">
        <v>3</v>
      </c>
      <c r="M126" s="4" t="s">
        <v>37</v>
      </c>
      <c r="O126" s="107">
        <v>0</v>
      </c>
      <c r="P126" s="58">
        <f t="shared" si="128"/>
        <v>0</v>
      </c>
      <c r="Q126" s="84">
        <f t="shared" si="129"/>
        <v>0</v>
      </c>
      <c r="R126" s="57"/>
      <c r="S126" s="89"/>
      <c r="T126" s="89">
        <f t="shared" si="130"/>
        <v>0</v>
      </c>
      <c r="U126" s="87" t="str">
        <f t="shared" si="131"/>
        <v>NONE</v>
      </c>
      <c r="V126" s="97"/>
      <c r="W126" s="90"/>
      <c r="X126" s="89">
        <f t="shared" si="132"/>
        <v>0</v>
      </c>
      <c r="Y126" s="89"/>
      <c r="Z126" s="58">
        <f t="shared" si="133"/>
        <v>0</v>
      </c>
      <c r="AA126" s="58">
        <f t="shared" si="134"/>
        <v>130</v>
      </c>
      <c r="AB126" s="58"/>
      <c r="AC126" s="98">
        <f t="shared" si="135"/>
        <v>-130</v>
      </c>
      <c r="AD126" s="58"/>
      <c r="AE126" s="58">
        <f t="shared" si="136"/>
        <v>0</v>
      </c>
      <c r="AF126" s="58">
        <f>IF(AG126&gt;0,AG73:AG126,0)</f>
        <v>0</v>
      </c>
      <c r="AG126" s="58">
        <f t="shared" si="117"/>
        <v>-130</v>
      </c>
      <c r="AI126">
        <f t="shared" si="118"/>
        <v>0</v>
      </c>
      <c r="AJ126">
        <f t="shared" si="119"/>
        <v>0</v>
      </c>
      <c r="AK126">
        <f t="shared" si="120"/>
        <v>0</v>
      </c>
      <c r="AL126">
        <f t="shared" si="121"/>
        <v>0</v>
      </c>
      <c r="AM126"/>
      <c r="AN126">
        <f t="shared" si="122"/>
        <v>0</v>
      </c>
      <c r="AO126">
        <f t="shared" si="123"/>
        <v>0</v>
      </c>
      <c r="AP126">
        <f t="shared" si="124"/>
        <v>0</v>
      </c>
      <c r="AQ126">
        <f t="shared" si="125"/>
        <v>0</v>
      </c>
    </row>
    <row r="127" spans="2:43" s="84" customFormat="1" ht="15.6" x14ac:dyDescent="0.3">
      <c r="B127" s="176" t="s">
        <v>507</v>
      </c>
      <c r="C127" s="84" t="s">
        <v>508</v>
      </c>
      <c r="D127" s="85" t="s">
        <v>509</v>
      </c>
      <c r="E127" s="84">
        <f>IF(D127=$B$12,H127,0)</f>
        <v>0</v>
      </c>
      <c r="F127" s="84">
        <f>IF(E127&gt;0,0,1)</f>
        <v>1</v>
      </c>
      <c r="G127" s="85" t="s">
        <v>510</v>
      </c>
      <c r="H127" s="85">
        <v>7</v>
      </c>
      <c r="I127" s="85"/>
      <c r="J127" s="85" t="s">
        <v>511</v>
      </c>
      <c r="K127" s="84" t="s">
        <v>56</v>
      </c>
      <c r="L127" s="90">
        <v>0</v>
      </c>
      <c r="M127" s="96" t="s">
        <v>37</v>
      </c>
      <c r="O127" s="107">
        <v>1474</v>
      </c>
      <c r="P127" s="58">
        <f>ROUND((O127*0.4),0)</f>
        <v>590</v>
      </c>
      <c r="Q127" s="84">
        <f>IF(O127&gt;0,((O127+500)-P127)+T127,0)</f>
        <v>1461</v>
      </c>
      <c r="R127" s="57" t="s">
        <v>512</v>
      </c>
      <c r="S127" s="89">
        <v>3</v>
      </c>
      <c r="T127" s="89">
        <f>IF(U127=$AD$2,47,IF(U127=$AD$1,ROUND(((O127+500)*0.039),0),IF(U127=$AD$3,0)))</f>
        <v>77</v>
      </c>
      <c r="U127" s="87" t="str">
        <f>IF(V127=1,$AD$2,IF(V127=2,$AD$1,IF(AND(V127&lt;&gt;1,V127&lt;&gt;20)=TRUE,$AD$3)))</f>
        <v>PAYPAL</v>
      </c>
      <c r="V127" s="97">
        <v>2</v>
      </c>
      <c r="W127" s="90" t="s">
        <v>592</v>
      </c>
      <c r="X127" s="89">
        <f>Q127+P127</f>
        <v>2051</v>
      </c>
      <c r="Y127" s="89"/>
      <c r="Z127" s="58">
        <f>IF(W127=$Z$1,Q127-500,0)</f>
        <v>0</v>
      </c>
      <c r="AA127" s="58">
        <f>IF(H127&gt;0,130,0)</f>
        <v>130</v>
      </c>
      <c r="AB127" s="58"/>
      <c r="AC127" s="98">
        <f>(O127+T127)-AA127</f>
        <v>1421</v>
      </c>
      <c r="AD127" s="58"/>
      <c r="AE127" s="58">
        <f>IF(H127&gt;0,30*F127,0)</f>
        <v>30</v>
      </c>
      <c r="AF127" s="58">
        <f>IF(AG127&gt;0,AG63:AG127,0)</f>
        <v>1391</v>
      </c>
      <c r="AG127" s="58">
        <f>AC127-AE127</f>
        <v>1391</v>
      </c>
      <c r="AI127" s="84">
        <f>IF(S127=1,O127-T127,0)</f>
        <v>0</v>
      </c>
      <c r="AJ127" s="84">
        <f>IF(S127=2,O127-T127,0)</f>
        <v>0</v>
      </c>
      <c r="AK127" s="84">
        <f>IF(S127=3,O127-T127,0)</f>
        <v>1397</v>
      </c>
      <c r="AL127" s="84">
        <f>IF(S127=4,O127-T127,0)</f>
        <v>0</v>
      </c>
      <c r="AN127" s="84">
        <f>IF(S127=1,O127-T127,0)</f>
        <v>0</v>
      </c>
      <c r="AO127" s="84">
        <f>IF(S127=2,O127-T127,0)</f>
        <v>0</v>
      </c>
      <c r="AP127" s="84">
        <f>IF(S127=3,O127-T127,0)</f>
        <v>1397</v>
      </c>
      <c r="AQ127" s="84">
        <f>IF(S127=4,O127-T127,0)</f>
        <v>0</v>
      </c>
    </row>
    <row r="128" spans="2:43" s="84" customFormat="1" ht="17.25" customHeight="1" x14ac:dyDescent="0.3">
      <c r="B128" s="176" t="s">
        <v>496</v>
      </c>
      <c r="C128" s="84" t="s">
        <v>593</v>
      </c>
      <c r="D128" s="84" t="s">
        <v>376</v>
      </c>
      <c r="E128" s="84">
        <f>IF(D128=$B$12,H128,0)</f>
        <v>0</v>
      </c>
      <c r="F128" s="84">
        <f>IF(E128&gt;0,0,1)</f>
        <v>1</v>
      </c>
      <c r="G128" s="177" t="s">
        <v>498</v>
      </c>
      <c r="H128" s="85">
        <v>7</v>
      </c>
      <c r="I128" s="85"/>
      <c r="J128" s="148" t="s">
        <v>369</v>
      </c>
      <c r="K128" s="84" t="s">
        <v>56</v>
      </c>
      <c r="L128" s="90">
        <v>0</v>
      </c>
      <c r="M128" s="96" t="s">
        <v>37</v>
      </c>
      <c r="O128" s="107">
        <v>1753</v>
      </c>
      <c r="P128" s="58">
        <f>ROUND((O128*0.4),0)</f>
        <v>701</v>
      </c>
      <c r="Q128" s="84">
        <f>IF(O128&gt;0,((O128+500)-P128)+T128,0)</f>
        <v>1640</v>
      </c>
      <c r="R128" s="57" t="s">
        <v>497</v>
      </c>
      <c r="S128" s="89">
        <v>3</v>
      </c>
      <c r="T128" s="89">
        <f>IF(U128=$AD$2,47,IF(U128=$AD$1,ROUND(((O128+500)*0.039),0),IF(U128=$AD$3,0)))</f>
        <v>88</v>
      </c>
      <c r="U128" s="87" t="str">
        <f>IF(V128=1,$AD$2,IF(V128=2,$AD$1,IF(AND(V128&lt;&gt;1,V128&lt;&gt;20)=TRUE,$AD$3)))</f>
        <v>PAYPAL</v>
      </c>
      <c r="V128" s="97">
        <v>2</v>
      </c>
      <c r="W128" s="90" t="s">
        <v>600</v>
      </c>
      <c r="X128" s="89">
        <f>Q128+P128</f>
        <v>2341</v>
      </c>
      <c r="Y128" s="89"/>
      <c r="Z128" s="58">
        <f>IF(W128=$Z$1,Q128-500,0)</f>
        <v>0</v>
      </c>
      <c r="AA128" s="58">
        <f>IF(H128&gt;0,130,0)</f>
        <v>130</v>
      </c>
      <c r="AB128" s="58"/>
      <c r="AC128" s="98">
        <f>(O128+T128)-AA128</f>
        <v>1711</v>
      </c>
      <c r="AD128" s="58"/>
      <c r="AE128" s="58">
        <f>IF(H128&gt;0,30*F128,0)</f>
        <v>30</v>
      </c>
      <c r="AF128" s="58">
        <f>IF(AG128&gt;0,AG75:AG128,0)</f>
        <v>1681</v>
      </c>
      <c r="AG128" s="58">
        <f>AC128-AE128</f>
        <v>1681</v>
      </c>
      <c r="AI128" s="84">
        <f>IF(S128=1,O128-T128,0)</f>
        <v>0</v>
      </c>
      <c r="AJ128" s="84">
        <f>IF(S128=2,O128-T128,0)</f>
        <v>0</v>
      </c>
      <c r="AK128" s="84">
        <f>IF(S128=3,O128-T128,0)</f>
        <v>1665</v>
      </c>
      <c r="AL128" s="84">
        <f>IF(S128=4,O128-T128,0)</f>
        <v>0</v>
      </c>
      <c r="AN128" s="84">
        <f>IF(S128=1,O128-T128,0)</f>
        <v>0</v>
      </c>
      <c r="AO128" s="84">
        <f>IF(S128=2,O128-T128,0)</f>
        <v>0</v>
      </c>
      <c r="AP128" s="84">
        <f>IF(S128=3,O128-T128,0)</f>
        <v>1665</v>
      </c>
      <c r="AQ128" s="84">
        <f>IF(S128=4,O128-T128,0)</f>
        <v>0</v>
      </c>
    </row>
    <row r="129" spans="1:44" ht="14.45" x14ac:dyDescent="0.3">
      <c r="B129" s="84" t="s">
        <v>468</v>
      </c>
      <c r="C129" t="s">
        <v>471</v>
      </c>
      <c r="D129" s="85" t="s">
        <v>31</v>
      </c>
      <c r="E129" s="84">
        <f>IF(D129=$B$12,H129,0)</f>
        <v>0</v>
      </c>
      <c r="F129" s="84">
        <f>IF(E129&gt;0,0,1)</f>
        <v>1</v>
      </c>
      <c r="G129" s="85" t="s">
        <v>469</v>
      </c>
      <c r="H129" s="85">
        <v>28</v>
      </c>
      <c r="I129" s="85"/>
      <c r="J129" s="148" t="s">
        <v>440</v>
      </c>
      <c r="K129" s="84" t="s">
        <v>56</v>
      </c>
      <c r="L129" s="90">
        <v>0</v>
      </c>
      <c r="M129" s="96" t="s">
        <v>590</v>
      </c>
      <c r="N129" s="84"/>
      <c r="O129" s="107">
        <v>4534</v>
      </c>
      <c r="P129" s="58">
        <f>ROUND((O129*0.4),0)</f>
        <v>1814</v>
      </c>
      <c r="Q129" s="84">
        <f>IF(O129&gt;0,((O129+500)-P129)+T129,0)</f>
        <v>3416</v>
      </c>
      <c r="R129" s="57" t="s">
        <v>470</v>
      </c>
      <c r="S129" s="89">
        <v>3</v>
      </c>
      <c r="T129" s="89">
        <f>IF(U129=$AD$2,47,IF(U129=$AD$1,ROUND(((O129+500)*0.039),0),IF(U129=$AD$3,0)))</f>
        <v>196</v>
      </c>
      <c r="U129" s="87" t="str">
        <f>IF(V129=1,$AD$2,IF(V129=2,$AD$1,IF(AND(V129&lt;&gt;1,V129&lt;&gt;20)=TRUE,$AD$3)))</f>
        <v>PAYPAL</v>
      </c>
      <c r="V129" s="97">
        <v>2</v>
      </c>
      <c r="W129" s="90" t="s">
        <v>568</v>
      </c>
      <c r="X129" s="89">
        <f>Q129+P129</f>
        <v>5230</v>
      </c>
      <c r="Y129" s="89"/>
      <c r="Z129" s="58">
        <f>IF(W129=$Z$1,Q129-500,0)</f>
        <v>0</v>
      </c>
      <c r="AA129" s="58">
        <f>IF(H129&gt;0,130,0)</f>
        <v>130</v>
      </c>
      <c r="AB129" s="58"/>
      <c r="AC129" s="98">
        <f>(O129+T129)-AA129</f>
        <v>4600</v>
      </c>
      <c r="AD129" s="58"/>
      <c r="AE129" s="58">
        <f>IF(H129&gt;0,30*F129,0)</f>
        <v>30</v>
      </c>
      <c r="AF129" s="58">
        <f>IF(AG129&gt;0,AG76:AG129,0)</f>
        <v>4570</v>
      </c>
      <c r="AG129" s="58">
        <f>AC129-AE129</f>
        <v>4570</v>
      </c>
      <c r="AI129">
        <f>IF(S129=1,O129-T129,0)</f>
        <v>0</v>
      </c>
      <c r="AJ129">
        <f>IF(S129=2,O129-T129,0)</f>
        <v>0</v>
      </c>
      <c r="AK129">
        <f>IF(S129=3,O129-T129,0)</f>
        <v>4338</v>
      </c>
      <c r="AL129">
        <f>IF(S129=4,O129-T129,0)</f>
        <v>0</v>
      </c>
      <c r="AN129">
        <f>IF(S129=1,O129-T129,0)</f>
        <v>0</v>
      </c>
      <c r="AO129">
        <f>IF(S129=2,O129-T129,0)</f>
        <v>0</v>
      </c>
      <c r="AP129">
        <f>IF(S129=3,O129-T129,0)</f>
        <v>4338</v>
      </c>
      <c r="AQ129">
        <f>IF(S129=4,O129-T129,0)</f>
        <v>0</v>
      </c>
    </row>
    <row r="130" spans="1:44" ht="14.45" x14ac:dyDescent="0.3">
      <c r="B130" s="103" t="s">
        <v>83</v>
      </c>
      <c r="C130" s="86" t="s">
        <v>43</v>
      </c>
      <c r="D130" s="85" t="s">
        <v>43</v>
      </c>
      <c r="E130" s="84">
        <f>IF(D130=$B$12,H130,0)</f>
        <v>2</v>
      </c>
      <c r="F130" s="84">
        <f>IF(E130&gt;0,0,1)</f>
        <v>0</v>
      </c>
      <c r="G130" s="104" t="s">
        <v>583</v>
      </c>
      <c r="H130" s="85">
        <v>2</v>
      </c>
      <c r="I130" s="85"/>
      <c r="J130" s="148" t="s">
        <v>440</v>
      </c>
      <c r="K130" s="84" t="s">
        <v>56</v>
      </c>
      <c r="L130" s="90">
        <v>0</v>
      </c>
      <c r="M130" s="96" t="s">
        <v>37</v>
      </c>
      <c r="N130" s="84"/>
      <c r="O130" s="107">
        <v>0</v>
      </c>
      <c r="P130" s="58">
        <f>ROUND((O130*0.4),0)</f>
        <v>0</v>
      </c>
      <c r="Q130" s="84">
        <f>IF(O130&gt;0,((O130+500)-P130)+T130,0)</f>
        <v>0</v>
      </c>
      <c r="R130" s="57"/>
      <c r="S130" s="89"/>
      <c r="T130" s="89">
        <f>IF(U130=$AD$2,47,IF(U130=$AD$1,ROUND(((O130+500)*0.039),0),IF(U130=$AD$3,0)))</f>
        <v>0</v>
      </c>
      <c r="U130" s="87" t="str">
        <f>IF(V130=1,$AD$2,IF(V130=2,$AD$1,IF(AND(V130&lt;&gt;1,V130&lt;&gt;20)=TRUE,$AD$3)))</f>
        <v>NONE</v>
      </c>
      <c r="V130" s="97"/>
      <c r="W130" s="90"/>
      <c r="X130" s="89">
        <f>Q130+P130</f>
        <v>0</v>
      </c>
      <c r="Y130" s="89"/>
      <c r="Z130" s="58">
        <f>IF(W130=$Z$1,Q130-500,0)</f>
        <v>0</v>
      </c>
      <c r="AA130" s="58">
        <f>IF(H130&gt;0,130,0)</f>
        <v>130</v>
      </c>
      <c r="AB130" s="58"/>
      <c r="AC130" s="98">
        <f>(O130+T130)-AA130</f>
        <v>-130</v>
      </c>
      <c r="AD130" s="58"/>
      <c r="AE130" s="58">
        <f>IF(H130&gt;0,30*F130,0)</f>
        <v>0</v>
      </c>
      <c r="AF130" s="58">
        <f>IF(AG130&gt;0,AG30:AG130,0)</f>
        <v>0</v>
      </c>
      <c r="AG130" s="58">
        <f>AC130-AE130</f>
        <v>-130</v>
      </c>
      <c r="AI130">
        <f>IF(S130=1,O130-T130,0)</f>
        <v>0</v>
      </c>
      <c r="AJ130">
        <f>IF(S130=2,O130-T130,0)</f>
        <v>0</v>
      </c>
      <c r="AK130">
        <f>IF(S130=3,O130-T130,0)</f>
        <v>0</v>
      </c>
      <c r="AL130">
        <f>IF(S130=4,O130-T130,0)</f>
        <v>0</v>
      </c>
      <c r="AN130">
        <f>IF(S130=1,O130-T130,0)</f>
        <v>0</v>
      </c>
      <c r="AO130">
        <f>IF(S130=2,O130-T130,0)</f>
        <v>0</v>
      </c>
      <c r="AP130">
        <f>IF(S130=3,O130-T130,0)</f>
        <v>0</v>
      </c>
      <c r="AQ130">
        <f>IF(S130=4,O130-T130,0)</f>
        <v>0</v>
      </c>
    </row>
    <row r="131" spans="1:44" ht="14.45" x14ac:dyDescent="0.3">
      <c r="B131" s="148" t="s">
        <v>525</v>
      </c>
      <c r="C131" s="182" t="s">
        <v>526</v>
      </c>
      <c r="D131" s="85" t="s">
        <v>184</v>
      </c>
      <c r="E131" s="84">
        <f>IF(D131=$B$12,H131,0)</f>
        <v>0</v>
      </c>
      <c r="F131" s="84">
        <f>IF(E131&gt;0,0,1)</f>
        <v>1</v>
      </c>
      <c r="G131" s="85" t="s">
        <v>524</v>
      </c>
      <c r="H131" s="85">
        <v>7</v>
      </c>
      <c r="I131" s="85"/>
      <c r="J131" s="85" t="s">
        <v>523</v>
      </c>
      <c r="K131" s="84" t="s">
        <v>56</v>
      </c>
      <c r="L131" s="90">
        <v>0</v>
      </c>
      <c r="M131" s="96" t="s">
        <v>37</v>
      </c>
      <c r="N131" s="84"/>
      <c r="O131" s="107">
        <v>1364</v>
      </c>
      <c r="P131" s="58">
        <f>ROUND((O131*0.4),0)</f>
        <v>546</v>
      </c>
      <c r="Q131" s="84">
        <f>IF(O131&gt;0,((O131+500)-P131)+T131,0)</f>
        <v>1391</v>
      </c>
      <c r="R131" s="57" t="s">
        <v>522</v>
      </c>
      <c r="S131" s="89">
        <v>4</v>
      </c>
      <c r="T131" s="89">
        <f>IF(U131=$AD$2,47,IF(U131=$AD$1,ROUND(((O131+500)*0.039),0),IF(U131=$AD$3,0)))</f>
        <v>73</v>
      </c>
      <c r="U131" s="87" t="str">
        <f>IF(V131=1,$AD$2,IF(V131=2,$AD$1,IF(AND(V131&lt;&gt;1,V131&lt;&gt;20)=TRUE,$AD$3)))</f>
        <v>PAYPAL</v>
      </c>
      <c r="V131" s="97">
        <v>2</v>
      </c>
      <c r="W131" s="90" t="s">
        <v>26</v>
      </c>
      <c r="X131" s="89">
        <f>Q131+P131</f>
        <v>1937</v>
      </c>
      <c r="Y131" s="89"/>
      <c r="Z131" s="58">
        <f>IF(W131=$Z$1,Q131-500,0)</f>
        <v>0</v>
      </c>
      <c r="AA131" s="58">
        <f>IF(H131&gt;0,130,0)</f>
        <v>130</v>
      </c>
      <c r="AB131" s="58"/>
      <c r="AC131" s="98">
        <f>(O131+T131)-AA131</f>
        <v>1307</v>
      </c>
      <c r="AD131" s="58"/>
      <c r="AE131" s="58">
        <f>IF(H131&gt;0,30*F131,0)</f>
        <v>30</v>
      </c>
      <c r="AF131" s="58">
        <f>IF(AG131&gt;0,AG43:AG131,0)</f>
        <v>1277</v>
      </c>
      <c r="AG131" s="58">
        <f>AC131-AE131</f>
        <v>1277</v>
      </c>
      <c r="AI131">
        <f>IF(S131=1,O131-T131,0)</f>
        <v>0</v>
      </c>
      <c r="AJ131">
        <f>IF(S131=2,O131-T131,0)</f>
        <v>0</v>
      </c>
      <c r="AK131">
        <f>IF(S131=3,O131-T131,0)</f>
        <v>0</v>
      </c>
      <c r="AL131">
        <f>IF(S131=4,O131-T131,0)</f>
        <v>1291</v>
      </c>
      <c r="AN131">
        <f>IF(S131=1,O131-T131,0)</f>
        <v>0</v>
      </c>
      <c r="AO131">
        <f>IF(S131=2,O131-T131,0)</f>
        <v>0</v>
      </c>
      <c r="AP131">
        <f>IF(S131=3,O131-T131,0)</f>
        <v>0</v>
      </c>
      <c r="AQ131">
        <f>IF(S131=4,O131-T131,0)</f>
        <v>1291</v>
      </c>
    </row>
    <row r="132" spans="1:44" s="84" customFormat="1" ht="14.45" x14ac:dyDescent="0.3">
      <c r="B132" s="103" t="s">
        <v>83</v>
      </c>
      <c r="C132" s="86" t="s">
        <v>43</v>
      </c>
      <c r="D132" s="85" t="s">
        <v>43</v>
      </c>
      <c r="E132" s="84">
        <f t="shared" si="126"/>
        <v>3</v>
      </c>
      <c r="F132" s="84">
        <f t="shared" si="127"/>
        <v>0</v>
      </c>
      <c r="G132" s="108" t="s">
        <v>585</v>
      </c>
      <c r="H132" s="85">
        <v>3</v>
      </c>
      <c r="I132" s="85"/>
      <c r="J132" s="84" t="s">
        <v>64</v>
      </c>
      <c r="K132" s="84" t="s">
        <v>56</v>
      </c>
      <c r="L132" s="90">
        <v>3</v>
      </c>
      <c r="M132" s="96" t="s">
        <v>37</v>
      </c>
      <c r="O132" s="107">
        <v>0</v>
      </c>
      <c r="P132" s="58">
        <f t="shared" si="128"/>
        <v>0</v>
      </c>
      <c r="Q132" s="84">
        <f t="shared" si="129"/>
        <v>0</v>
      </c>
      <c r="R132" s="57"/>
      <c r="S132" s="89"/>
      <c r="T132" s="89">
        <f t="shared" si="130"/>
        <v>0</v>
      </c>
      <c r="U132" s="87" t="str">
        <f t="shared" si="131"/>
        <v>NONE</v>
      </c>
      <c r="V132" s="97"/>
      <c r="W132" s="90"/>
      <c r="X132" s="89">
        <f t="shared" si="132"/>
        <v>0</v>
      </c>
      <c r="Y132" s="89"/>
      <c r="Z132" s="58">
        <f t="shared" si="133"/>
        <v>0</v>
      </c>
      <c r="AA132" s="58">
        <f t="shared" si="134"/>
        <v>130</v>
      </c>
      <c r="AB132" s="58"/>
      <c r="AC132" s="98">
        <f t="shared" si="135"/>
        <v>-130</v>
      </c>
      <c r="AD132" s="58"/>
      <c r="AE132" s="58">
        <f t="shared" si="136"/>
        <v>0</v>
      </c>
      <c r="AF132" s="58">
        <f>IF(AG132&gt;0,AG74:AG132,0)</f>
        <v>0</v>
      </c>
      <c r="AG132" s="58">
        <f t="shared" si="117"/>
        <v>-130</v>
      </c>
      <c r="AI132">
        <f t="shared" si="118"/>
        <v>0</v>
      </c>
      <c r="AJ132">
        <f t="shared" si="119"/>
        <v>0</v>
      </c>
      <c r="AK132">
        <f t="shared" si="120"/>
        <v>0</v>
      </c>
      <c r="AL132">
        <f t="shared" si="121"/>
        <v>0</v>
      </c>
      <c r="AM132"/>
      <c r="AN132">
        <f t="shared" si="122"/>
        <v>0</v>
      </c>
      <c r="AO132">
        <f t="shared" si="123"/>
        <v>0</v>
      </c>
      <c r="AP132">
        <f t="shared" si="124"/>
        <v>0</v>
      </c>
      <c r="AQ132">
        <f t="shared" si="125"/>
        <v>0</v>
      </c>
    </row>
    <row r="133" spans="1:44" ht="14.45" x14ac:dyDescent="0.3">
      <c r="B133" s="86" t="s">
        <v>513</v>
      </c>
      <c r="C133" t="s">
        <v>514</v>
      </c>
      <c r="D133" s="84" t="s">
        <v>376</v>
      </c>
      <c r="E133" s="84">
        <f>IF(D133=$B$12,H133,0)</f>
        <v>0</v>
      </c>
      <c r="F133" s="84">
        <f>IF(E133&gt;0,0,1)</f>
        <v>1</v>
      </c>
      <c r="G133" s="84" t="s">
        <v>515</v>
      </c>
      <c r="H133" s="85">
        <v>7</v>
      </c>
      <c r="I133" s="85"/>
      <c r="J133" s="84" t="s">
        <v>104</v>
      </c>
      <c r="K133" s="84" t="s">
        <v>56</v>
      </c>
      <c r="L133" s="90">
        <v>0</v>
      </c>
      <c r="M133" s="96" t="s">
        <v>37</v>
      </c>
      <c r="N133" s="84"/>
      <c r="O133" s="107">
        <v>1364</v>
      </c>
      <c r="P133" s="58">
        <f>ROUND((O133*0.4),0)</f>
        <v>546</v>
      </c>
      <c r="Q133" s="84">
        <f>IF(O133&gt;0,((O133+500)-P133)+T133,0)</f>
        <v>1391</v>
      </c>
      <c r="R133" s="170" t="s">
        <v>516</v>
      </c>
      <c r="S133" s="89">
        <v>4</v>
      </c>
      <c r="T133" s="89">
        <f>IF(U133=$AD$2,47,IF(U133=$AD$1,ROUND(((O133+500)*0.039),0),IF(U133=$AD$3,0)))</f>
        <v>73</v>
      </c>
      <c r="U133" s="87" t="str">
        <f>IF(V133=1,$AD$2,IF(V133=2,$AD$1,IF(AND(V133&lt;&gt;1,V133&lt;&gt;20)=TRUE,$AD$3)))</f>
        <v>PAYPAL</v>
      </c>
      <c r="V133" s="97">
        <v>2</v>
      </c>
      <c r="W133" s="90" t="s">
        <v>26</v>
      </c>
      <c r="X133" s="89">
        <f>Q133+P133</f>
        <v>1937</v>
      </c>
      <c r="Y133" s="89"/>
      <c r="Z133" s="58">
        <f>IF(W133=$Z$1,Q133-500,0)</f>
        <v>0</v>
      </c>
      <c r="AA133" s="58">
        <f>IF(H133&gt;0,130,0)</f>
        <v>130</v>
      </c>
      <c r="AB133" s="58"/>
      <c r="AC133" s="98">
        <f>(O133+T133)-AA133</f>
        <v>1307</v>
      </c>
      <c r="AD133" s="58"/>
      <c r="AE133" s="58">
        <f>IF(H133&gt;0,30*F133,0)</f>
        <v>30</v>
      </c>
      <c r="AF133" s="58">
        <f>IF(AG133&gt;0,AG68:AG135,0)</f>
        <v>1277</v>
      </c>
      <c r="AG133" s="58">
        <f>AC133-AE133</f>
        <v>1277</v>
      </c>
      <c r="AI133">
        <f>IF(S133=1,O133-T133,0)</f>
        <v>0</v>
      </c>
      <c r="AJ133">
        <f>IF(S133=2,O133-T133,0)</f>
        <v>0</v>
      </c>
      <c r="AK133">
        <f>IF(S133=3,O133-T133,0)</f>
        <v>0</v>
      </c>
      <c r="AL133">
        <f>IF(S133=4,O133-T133,0)</f>
        <v>1291</v>
      </c>
      <c r="AN133">
        <f>IF(S133=1,O133-T133,0)</f>
        <v>0</v>
      </c>
      <c r="AO133">
        <f>IF(S133=2,O133-T133,0)</f>
        <v>0</v>
      </c>
      <c r="AP133">
        <f>IF(S133=3,O133-T133,0)</f>
        <v>0</v>
      </c>
      <c r="AQ133">
        <f>IF(S133=4,O133-T133,0)</f>
        <v>1291</v>
      </c>
    </row>
    <row r="134" spans="1:44" s="84" customFormat="1" ht="14.45" x14ac:dyDescent="0.3">
      <c r="B134" s="86" t="s">
        <v>499</v>
      </c>
      <c r="C134" t="s">
        <v>500</v>
      </c>
      <c r="D134" s="85" t="s">
        <v>201</v>
      </c>
      <c r="E134" s="84">
        <f t="shared" ref="E134" si="139">IF(D134=$B$12,H134,0)</f>
        <v>0</v>
      </c>
      <c r="F134" s="84">
        <f t="shared" ref="F134" si="140">IF(E134&gt;0,0,1)</f>
        <v>1</v>
      </c>
      <c r="G134" s="84" t="s">
        <v>501</v>
      </c>
      <c r="H134" s="85">
        <v>13</v>
      </c>
      <c r="I134" s="85"/>
      <c r="J134" s="84" t="s">
        <v>64</v>
      </c>
      <c r="K134" s="84" t="s">
        <v>56</v>
      </c>
      <c r="L134" s="90">
        <v>0</v>
      </c>
      <c r="M134" s="96" t="s">
        <v>37</v>
      </c>
      <c r="O134" s="107">
        <v>2537</v>
      </c>
      <c r="P134" s="58">
        <f t="shared" ref="P134" si="141">ROUND((O134*0.4),0)</f>
        <v>1015</v>
      </c>
      <c r="Q134" s="84">
        <f t="shared" ref="Q134" si="142">IF(O134&gt;0,((O134+500)-P134)+T134,0)</f>
        <v>2140</v>
      </c>
      <c r="R134" s="57" t="s">
        <v>502</v>
      </c>
      <c r="S134" s="89">
        <v>4</v>
      </c>
      <c r="T134" s="89">
        <f t="shared" ref="T134" si="143">IF(U134=$AD$2,47,IF(U134=$AD$1,ROUND(((O134+500)*0.039),0),IF(U134=$AD$3,0)))</f>
        <v>118</v>
      </c>
      <c r="U134" s="87" t="str">
        <f t="shared" ref="U134" si="144">IF(V134=1,$AD$2,IF(V134=2,$AD$1,IF(AND(V134&lt;&gt;1,V134&lt;&gt;20)=TRUE,$AD$3)))</f>
        <v>PAYPAL</v>
      </c>
      <c r="V134" s="97">
        <v>2</v>
      </c>
      <c r="W134" s="90" t="s">
        <v>264</v>
      </c>
      <c r="X134" s="89">
        <f t="shared" ref="X134" si="145">Q134+P134</f>
        <v>3155</v>
      </c>
      <c r="Y134" s="89"/>
      <c r="Z134" s="58">
        <f t="shared" ref="Z134" si="146">IF(W134=$Z$1,Q134-500,0)</f>
        <v>0</v>
      </c>
      <c r="AA134" s="58">
        <f t="shared" ref="AA134" si="147">IF(H134&gt;0,130,0)</f>
        <v>130</v>
      </c>
      <c r="AB134" s="58"/>
      <c r="AC134" s="98">
        <f t="shared" ref="AC134" si="148">(O134+T134)-AA134</f>
        <v>2525</v>
      </c>
      <c r="AD134" s="58"/>
      <c r="AE134" s="58">
        <f t="shared" ref="AE134" si="149">IF(H134&gt;0,30*F134,0)</f>
        <v>30</v>
      </c>
      <c r="AF134" s="58">
        <f>IF(AG134&gt;0,AG82:AG134,0)</f>
        <v>2495</v>
      </c>
      <c r="AG134" s="58">
        <f t="shared" ref="AG134" si="150">AC134-AE134</f>
        <v>2495</v>
      </c>
      <c r="AI134" s="84">
        <f t="shared" ref="AI134" si="151">IF(S134=1,O134-T134,0)</f>
        <v>0</v>
      </c>
      <c r="AJ134" s="84">
        <f t="shared" ref="AJ134" si="152">IF(S134=2,O134-T134,0)</f>
        <v>0</v>
      </c>
      <c r="AK134" s="84">
        <f t="shared" ref="AK134" si="153">IF(S134=3,O134-T134,0)</f>
        <v>0</v>
      </c>
      <c r="AL134" s="84">
        <f t="shared" ref="AL134" si="154">IF(S134=4,O134-T134,0)</f>
        <v>2419</v>
      </c>
      <c r="AN134" s="84">
        <f t="shared" ref="AN134" si="155">IF(S134=1,O134-T134,0)</f>
        <v>0</v>
      </c>
      <c r="AO134" s="84">
        <f t="shared" ref="AO134" si="156">IF(S134=2,O134-T134,0)</f>
        <v>0</v>
      </c>
      <c r="AP134" s="84">
        <f t="shared" ref="AP134" si="157">IF(S134=3,O134-T134,0)</f>
        <v>0</v>
      </c>
      <c r="AQ134" s="84">
        <f t="shared" ref="AQ134" si="158">IF(S134=4,O134-T134,0)</f>
        <v>2419</v>
      </c>
    </row>
    <row r="135" spans="1:44" s="84" customFormat="1" ht="15.75" x14ac:dyDescent="0.25">
      <c r="B135" s="171" t="s">
        <v>490</v>
      </c>
      <c r="C135" t="s">
        <v>491</v>
      </c>
      <c r="D135" s="85" t="s">
        <v>376</v>
      </c>
      <c r="E135" s="84">
        <f>IF(D135=$B$12,H135,0)</f>
        <v>0</v>
      </c>
      <c r="F135" s="84">
        <f>IF(E135&gt;0,0,1)</f>
        <v>1</v>
      </c>
      <c r="G135" s="85" t="s">
        <v>492</v>
      </c>
      <c r="H135" s="85">
        <v>7</v>
      </c>
      <c r="I135" s="85"/>
      <c r="J135" s="85" t="s">
        <v>75</v>
      </c>
      <c r="K135" s="84" t="s">
        <v>56</v>
      </c>
      <c r="L135" s="90">
        <v>0</v>
      </c>
      <c r="M135" s="96" t="s">
        <v>37</v>
      </c>
      <c r="O135" s="107">
        <v>1565</v>
      </c>
      <c r="P135" s="58">
        <f>ROUND((O135*0.4),0)</f>
        <v>626</v>
      </c>
      <c r="Q135" s="84">
        <f>IF(O135&gt;0,((O135+500)-P135)+T135,0)</f>
        <v>1520</v>
      </c>
      <c r="R135" s="57" t="s">
        <v>493</v>
      </c>
      <c r="S135" s="89">
        <v>4</v>
      </c>
      <c r="T135" s="89">
        <f>IF(U135=$AD$2,47,IF(U135=$AD$1,ROUND(((O135+500)*0.039),0),IF(U135=$AD$3,0)))</f>
        <v>81</v>
      </c>
      <c r="U135" s="87" t="str">
        <f>IF(V135=1,$AD$2,IF(V135=2,$AD$1,IF(AND(V135&lt;&gt;1,V135&lt;&gt;20)=TRUE,$AD$3)))</f>
        <v>PAYPAL</v>
      </c>
      <c r="V135" s="97">
        <v>2</v>
      </c>
      <c r="W135" s="190" t="s">
        <v>605</v>
      </c>
      <c r="X135" s="89">
        <f>Q135+P135</f>
        <v>2146</v>
      </c>
      <c r="Y135" s="89"/>
      <c r="Z135" s="58">
        <f>IF(W135=$Z$1,Q135-500,0)</f>
        <v>0</v>
      </c>
      <c r="AA135" s="58">
        <f>IF(H135&gt;0,130,0)</f>
        <v>130</v>
      </c>
      <c r="AB135" s="58"/>
      <c r="AC135" s="98">
        <f>(O135+T135)-AA135</f>
        <v>1516</v>
      </c>
      <c r="AD135" s="58"/>
      <c r="AE135" s="58">
        <f>IF(H135&gt;0,30*F135,0)</f>
        <v>30</v>
      </c>
      <c r="AF135" s="58">
        <f>IF(AG135&gt;0,AG69:AG135,0)</f>
        <v>1486</v>
      </c>
      <c r="AG135" s="58">
        <f>AC135-AE135</f>
        <v>1486</v>
      </c>
      <c r="AI135" s="84">
        <f>IF(S135=1,O135-T135,0)</f>
        <v>0</v>
      </c>
      <c r="AJ135" s="84">
        <f>IF(S135=2,O135-T135,0)</f>
        <v>0</v>
      </c>
      <c r="AK135" s="84">
        <f>IF(S135=3,O135-T135,0)</f>
        <v>0</v>
      </c>
      <c r="AL135" s="84">
        <f>IF(S135=4,O135-T135,0)</f>
        <v>1484</v>
      </c>
      <c r="AN135" s="84">
        <f>IF(S135=1,O135-T135,0)</f>
        <v>0</v>
      </c>
      <c r="AO135" s="84">
        <f>IF(S135=2,O135-T135,0)</f>
        <v>0</v>
      </c>
      <c r="AP135" s="84">
        <f>IF(S135=3,O135-T135,0)</f>
        <v>0</v>
      </c>
      <c r="AQ135" s="84">
        <f>IF(S135=4,O135-T135,0)</f>
        <v>1484</v>
      </c>
    </row>
    <row r="136" spans="1:44" ht="14.45" x14ac:dyDescent="0.3">
      <c r="B136" s="148" t="s">
        <v>537</v>
      </c>
      <c r="C136" t="s">
        <v>538</v>
      </c>
      <c r="D136" s="85" t="s">
        <v>31</v>
      </c>
      <c r="E136" s="84">
        <f>IF(D136=$B$12,H136,0)</f>
        <v>0</v>
      </c>
      <c r="F136" s="84">
        <f>IF(E136&gt;0,0,1)</f>
        <v>1</v>
      </c>
      <c r="G136" s="85" t="s">
        <v>539</v>
      </c>
      <c r="H136" s="85">
        <v>7</v>
      </c>
      <c r="I136" s="85"/>
      <c r="J136" s="85" t="s">
        <v>104</v>
      </c>
      <c r="K136" s="84" t="s">
        <v>56</v>
      </c>
      <c r="L136" s="90">
        <v>0</v>
      </c>
      <c r="M136" s="96" t="s">
        <v>37</v>
      </c>
      <c r="N136" s="84"/>
      <c r="O136" s="107">
        <v>1364</v>
      </c>
      <c r="P136" s="58">
        <f>ROUND((O136*0.4),0)</f>
        <v>546</v>
      </c>
      <c r="Q136" s="84">
        <f>IF(O136&gt;0,((O136+500)-P136)+T136,0)</f>
        <v>1391</v>
      </c>
      <c r="R136" s="57" t="s">
        <v>540</v>
      </c>
      <c r="S136" s="89">
        <v>4</v>
      </c>
      <c r="T136" s="89">
        <f>IF(U136=$AD$2,47,IF(U136=$AD$1,ROUND(((O136+500)*0.039),0),IF(U136=$AD$3,0)))</f>
        <v>73</v>
      </c>
      <c r="U136" s="87" t="str">
        <f>IF(V136=1,$AD$2,IF(V136=2,$AD$1,IF(AND(V136&lt;&gt;1,V136&lt;&gt;20)=TRUE,$AD$3)))</f>
        <v>PAYPAL</v>
      </c>
      <c r="V136" s="97">
        <v>2</v>
      </c>
      <c r="W136" s="90" t="s">
        <v>626</v>
      </c>
      <c r="X136" s="89">
        <f>Q136+P136</f>
        <v>1937</v>
      </c>
      <c r="Y136" s="89"/>
      <c r="Z136" s="58">
        <f>IF(W136=$Z$1,Q136-500,0)</f>
        <v>0</v>
      </c>
      <c r="AA136" s="58">
        <f>IF(H136&gt;0,130,0)</f>
        <v>130</v>
      </c>
      <c r="AB136" s="58"/>
      <c r="AC136" s="98">
        <f>(O136+T136)-AA136</f>
        <v>1307</v>
      </c>
      <c r="AD136" s="58"/>
      <c r="AE136" s="58">
        <f>IF(H136&gt;0,30*F136,0)</f>
        <v>30</v>
      </c>
      <c r="AF136" s="58">
        <f>IF(AG136&gt;0,AG45:AG136,0)</f>
        <v>1277</v>
      </c>
      <c r="AG136" s="58">
        <f>AC136-AE136</f>
        <v>1277</v>
      </c>
      <c r="AI136">
        <f>IF(S136=1,O136-T136,0)</f>
        <v>0</v>
      </c>
      <c r="AJ136">
        <f>IF(S136=2,O136-T136,0)</f>
        <v>0</v>
      </c>
      <c r="AK136">
        <f>IF(S136=3,O136-T136,0)</f>
        <v>0</v>
      </c>
      <c r="AL136">
        <f>IF(S136=4,O136-T136,0)</f>
        <v>1291</v>
      </c>
      <c r="AN136">
        <f>IF(S136=1,O136-T136,0)</f>
        <v>0</v>
      </c>
      <c r="AO136">
        <f>IF(S136=2,O136-T136,0)</f>
        <v>0</v>
      </c>
      <c r="AP136">
        <f>IF(S136=3,O136-T136,0)</f>
        <v>0</v>
      </c>
      <c r="AQ136">
        <f>IF(S136=4,O136-T136,0)</f>
        <v>1291</v>
      </c>
    </row>
    <row r="137" spans="1:44" s="84" customFormat="1" ht="14.45" x14ac:dyDescent="0.3">
      <c r="B137" s="103" t="s">
        <v>83</v>
      </c>
      <c r="C137" s="86" t="s">
        <v>43</v>
      </c>
      <c r="D137" s="85" t="s">
        <v>43</v>
      </c>
      <c r="E137" s="84">
        <f t="shared" si="126"/>
        <v>5</v>
      </c>
      <c r="F137" s="84">
        <f t="shared" si="127"/>
        <v>0</v>
      </c>
      <c r="G137" s="108" t="s">
        <v>418</v>
      </c>
      <c r="H137" s="85">
        <v>5</v>
      </c>
      <c r="I137" s="85"/>
      <c r="J137" s="84" t="s">
        <v>64</v>
      </c>
      <c r="K137" s="84" t="s">
        <v>56</v>
      </c>
      <c r="L137" s="90">
        <v>3</v>
      </c>
      <c r="M137" s="96" t="s">
        <v>37</v>
      </c>
      <c r="O137" s="107">
        <v>0</v>
      </c>
      <c r="P137" s="58">
        <f t="shared" si="128"/>
        <v>0</v>
      </c>
      <c r="Q137" s="84">
        <f t="shared" si="129"/>
        <v>0</v>
      </c>
      <c r="R137" s="57"/>
      <c r="S137" s="89"/>
      <c r="T137" s="89">
        <f t="shared" si="130"/>
        <v>0</v>
      </c>
      <c r="U137" s="87" t="str">
        <f t="shared" si="131"/>
        <v>NONE</v>
      </c>
      <c r="V137" s="97"/>
      <c r="W137" s="90"/>
      <c r="X137" s="89">
        <f t="shared" si="132"/>
        <v>0</v>
      </c>
      <c r="Y137" s="89"/>
      <c r="Z137" s="58">
        <f t="shared" si="133"/>
        <v>0</v>
      </c>
      <c r="AA137" s="58">
        <f t="shared" si="134"/>
        <v>130</v>
      </c>
      <c r="AB137" s="58"/>
      <c r="AC137" s="98">
        <f t="shared" si="135"/>
        <v>-130</v>
      </c>
      <c r="AD137" s="58"/>
      <c r="AE137" s="58">
        <f t="shared" si="136"/>
        <v>0</v>
      </c>
      <c r="AF137" s="58">
        <f>IF(AG137&gt;0,AG75:AG137,0)</f>
        <v>0</v>
      </c>
      <c r="AG137" s="58">
        <f t="shared" si="117"/>
        <v>-130</v>
      </c>
      <c r="AI137">
        <f t="shared" si="118"/>
        <v>0</v>
      </c>
      <c r="AJ137">
        <f t="shared" si="119"/>
        <v>0</v>
      </c>
      <c r="AK137">
        <f t="shared" si="120"/>
        <v>0</v>
      </c>
      <c r="AL137">
        <f t="shared" si="121"/>
        <v>0</v>
      </c>
      <c r="AM137"/>
      <c r="AN137">
        <f t="shared" si="122"/>
        <v>0</v>
      </c>
      <c r="AO137">
        <f t="shared" si="123"/>
        <v>0</v>
      </c>
      <c r="AP137">
        <f t="shared" si="124"/>
        <v>0</v>
      </c>
      <c r="AQ137">
        <f t="shared" si="125"/>
        <v>0</v>
      </c>
    </row>
    <row r="138" spans="1:44" ht="14.45" x14ac:dyDescent="0.3">
      <c r="B138" s="8" t="s">
        <v>586</v>
      </c>
      <c r="C138" t="s">
        <v>587</v>
      </c>
      <c r="D138" s="84" t="s">
        <v>376</v>
      </c>
      <c r="E138" s="84">
        <f>IF(D138=$B$12,H138,0)</f>
        <v>0</v>
      </c>
      <c r="F138" s="84">
        <f>IF(E138&gt;0,0,1)</f>
        <v>1</v>
      </c>
      <c r="G138" s="84" t="s">
        <v>588</v>
      </c>
      <c r="H138" s="85">
        <v>9</v>
      </c>
      <c r="I138" s="85"/>
      <c r="J138" s="84" t="s">
        <v>405</v>
      </c>
      <c r="K138" s="84" t="s">
        <v>56</v>
      </c>
      <c r="L138" s="90">
        <v>0</v>
      </c>
      <c r="M138" s="96" t="s">
        <v>37</v>
      </c>
      <c r="N138" s="84"/>
      <c r="O138" s="186">
        <v>1872</v>
      </c>
      <c r="P138" s="58">
        <f>ROUND((O138*0.4),0)</f>
        <v>749</v>
      </c>
      <c r="Q138" s="84">
        <f>IF(O138&gt;0,((O138+500)-P138)+T138,0)</f>
        <v>1716</v>
      </c>
      <c r="R138" s="57" t="s">
        <v>589</v>
      </c>
      <c r="S138" s="89">
        <v>4</v>
      </c>
      <c r="T138" s="89">
        <f>IF(U138=$AD$2,47,IF(U138=$AD$1,ROUND(((O138+500)*0.039),0),IF(U138=$AD$3,0)))</f>
        <v>93</v>
      </c>
      <c r="U138" s="87" t="str">
        <f>IF(V138=1,$AD$2,IF(V138=2,$AD$1,IF(AND(V138&lt;&gt;1,V138&lt;&gt;20)=TRUE,$AD$3)))</f>
        <v>PAYPAL</v>
      </c>
      <c r="V138" s="97">
        <v>2</v>
      </c>
      <c r="W138" s="90" t="s">
        <v>568</v>
      </c>
      <c r="X138" s="89">
        <f>Q138+P138</f>
        <v>2465</v>
      </c>
      <c r="Y138" s="89"/>
      <c r="Z138" s="58">
        <f>IF(W138=$Z$1,Q138-500,0)</f>
        <v>0</v>
      </c>
      <c r="AA138" s="58">
        <f>IF(H138&gt;0,130,0)</f>
        <v>130</v>
      </c>
      <c r="AB138" s="58"/>
      <c r="AC138" s="98">
        <f>(O138+T138)-AA138</f>
        <v>1835</v>
      </c>
      <c r="AD138" s="58"/>
      <c r="AE138" s="58">
        <f>IF(H138&gt;0,30*F138,0)</f>
        <v>30</v>
      </c>
      <c r="AF138" s="58">
        <f>IF(AG138&gt;0,AG36:AG138,0)</f>
        <v>1805</v>
      </c>
      <c r="AG138" s="58">
        <f>AC138-AE138</f>
        <v>1805</v>
      </c>
      <c r="AI138">
        <f>IF(S138=1,O138-T138,0)</f>
        <v>0</v>
      </c>
      <c r="AJ138">
        <f>IF(S138=2,O138-T138,0)</f>
        <v>0</v>
      </c>
      <c r="AK138">
        <f>IF(S138=3,O138-T138,0)</f>
        <v>0</v>
      </c>
      <c r="AL138">
        <f>IF(S138=4,O138-T138,0)</f>
        <v>1779</v>
      </c>
      <c r="AN138">
        <f>IF(S138=1,O138-T138,0)</f>
        <v>0</v>
      </c>
      <c r="AO138">
        <f>IF(S138=2,O138-T138,0)</f>
        <v>0</v>
      </c>
      <c r="AP138">
        <f>IF(S138=3,O138-T138,0)</f>
        <v>0</v>
      </c>
      <c r="AQ138">
        <f>IF(S138=4,O138-T138,0)</f>
        <v>1779</v>
      </c>
    </row>
    <row r="139" spans="1:44" ht="14.45" x14ac:dyDescent="0.3">
      <c r="B139" s="184" t="s">
        <v>531</v>
      </c>
      <c r="C139" t="s">
        <v>532</v>
      </c>
      <c r="D139" s="85" t="s">
        <v>184</v>
      </c>
      <c r="E139" s="84">
        <f>IF(D139=$B$12,H139,0)</f>
        <v>0</v>
      </c>
      <c r="F139" s="84">
        <f>IF(E139&gt;0,0,1)</f>
        <v>1</v>
      </c>
      <c r="G139" s="85" t="s">
        <v>533</v>
      </c>
      <c r="H139" s="85">
        <v>7</v>
      </c>
      <c r="I139" s="85"/>
      <c r="J139" s="85" t="s">
        <v>534</v>
      </c>
      <c r="K139" s="84" t="s">
        <v>56</v>
      </c>
      <c r="L139" s="90">
        <v>0</v>
      </c>
      <c r="M139" s="96" t="s">
        <v>37</v>
      </c>
      <c r="N139" s="84"/>
      <c r="O139" s="107">
        <v>1364</v>
      </c>
      <c r="P139" s="58">
        <f>ROUND((O139*0.4),0)</f>
        <v>546</v>
      </c>
      <c r="Q139" s="84">
        <f>IF(O139&gt;0,((O139+500)-P139)+T139,0)</f>
        <v>1391</v>
      </c>
      <c r="R139" s="57" t="s">
        <v>535</v>
      </c>
      <c r="S139" s="89">
        <v>4</v>
      </c>
      <c r="T139" s="89">
        <f>IF(U139=$AD$2,47,IF(U139=$AD$1,ROUND(((O139+500)*0.039),0),IF(U139=$AD$3,0)))</f>
        <v>73</v>
      </c>
      <c r="U139" s="87" t="str">
        <f>IF(V139=1,$AD$2,IF(V139=2,$AD$1,IF(AND(V139&lt;&gt;1,V139&lt;&gt;20)=TRUE,$AD$3)))</f>
        <v>PAYPAL</v>
      </c>
      <c r="V139" s="97">
        <v>2</v>
      </c>
      <c r="W139" s="90" t="s">
        <v>26</v>
      </c>
      <c r="X139" s="89">
        <f>Q139+P139</f>
        <v>1937</v>
      </c>
      <c r="Y139" s="89"/>
      <c r="Z139" s="58">
        <f>IF(W139=$Z$1,Q139-500,0)</f>
        <v>0</v>
      </c>
      <c r="AA139" s="58">
        <f>IF(H139&gt;0,130,0)</f>
        <v>130</v>
      </c>
      <c r="AB139" s="58"/>
      <c r="AC139" s="98">
        <f>(O139+T139)-AA139</f>
        <v>1307</v>
      </c>
      <c r="AD139" s="58"/>
      <c r="AE139" s="58">
        <f>IF(H139&gt;0,30*F139,0)</f>
        <v>30</v>
      </c>
      <c r="AF139" s="58">
        <f>IF(AG139&gt;0,AG47:AG139,0)</f>
        <v>1277</v>
      </c>
      <c r="AG139" s="58">
        <f>AC139-AE139</f>
        <v>1277</v>
      </c>
      <c r="AI139">
        <f>IF(S139=1,O139-T139,0)</f>
        <v>0</v>
      </c>
      <c r="AJ139">
        <f>IF(S139=2,O139-T139,0)</f>
        <v>0</v>
      </c>
      <c r="AK139">
        <f>IF(S139=3,O139-T139,0)</f>
        <v>0</v>
      </c>
      <c r="AL139">
        <f>IF(S139=4,O139-T139,0)</f>
        <v>1291</v>
      </c>
      <c r="AN139">
        <f>IF(S139=1,O139-T139,0)</f>
        <v>0</v>
      </c>
      <c r="AO139">
        <f>IF(S139=2,O139-T139,0)</f>
        <v>0</v>
      </c>
      <c r="AP139">
        <f>IF(S139=3,O139-T139,0)</f>
        <v>0</v>
      </c>
      <c r="AQ139">
        <f>IF(S139=4,O139-T139,0)</f>
        <v>1291</v>
      </c>
    </row>
    <row r="140" spans="1:44" ht="14.45" x14ac:dyDescent="0.3">
      <c r="B140" s="188" t="s">
        <v>601</v>
      </c>
      <c r="C140" s="84" t="s">
        <v>603</v>
      </c>
      <c r="D140" s="85" t="s">
        <v>376</v>
      </c>
      <c r="E140" s="84">
        <f>IF(D140=$B$12,H140,0)</f>
        <v>0</v>
      </c>
      <c r="F140" s="84">
        <f>IF(E140&gt;0,0,1)</f>
        <v>1</v>
      </c>
      <c r="G140" s="192" t="s">
        <v>627</v>
      </c>
      <c r="H140" s="85">
        <v>8</v>
      </c>
      <c r="I140" s="85"/>
      <c r="J140" s="85" t="s">
        <v>440</v>
      </c>
      <c r="K140" s="84" t="s">
        <v>56</v>
      </c>
      <c r="L140" s="90">
        <v>0</v>
      </c>
      <c r="M140" s="96" t="s">
        <v>37</v>
      </c>
      <c r="N140" s="84"/>
      <c r="O140" s="107">
        <v>1685</v>
      </c>
      <c r="P140" s="58">
        <f>ROUND((O140*0.4),0)</f>
        <v>674</v>
      </c>
      <c r="Q140" s="84">
        <f>IF(O140&gt;0,((O140+500)-P140)+T140,0)</f>
        <v>1596</v>
      </c>
      <c r="R140" s="57" t="s">
        <v>602</v>
      </c>
      <c r="S140" s="89">
        <v>4</v>
      </c>
      <c r="T140" s="89">
        <f>IF(U140=$AD$2,47,IF(U140=$AD$1,ROUND(((O140+500)*0.039),0),IF(U140=$AD$3,0)))</f>
        <v>85</v>
      </c>
      <c r="U140" s="87" t="str">
        <f>IF(V140=1,$AD$2,IF(V140=2,$AD$1,IF(AND(V140&lt;&gt;1,V140&lt;&gt;20)=TRUE,$AD$3)))</f>
        <v>PAYPAL</v>
      </c>
      <c r="V140" s="97">
        <v>2</v>
      </c>
      <c r="W140" s="90" t="s">
        <v>26</v>
      </c>
      <c r="X140" s="89">
        <f>Q140+P140</f>
        <v>2270</v>
      </c>
      <c r="Y140" s="89"/>
      <c r="Z140" s="58">
        <f>IF(W140=$Z$1,Q140-500,0)</f>
        <v>0</v>
      </c>
      <c r="AA140" s="58">
        <f>IF(H140&gt;0,130,0)</f>
        <v>130</v>
      </c>
      <c r="AB140" s="58"/>
      <c r="AC140" s="98">
        <f>(O140+T140)-AA140</f>
        <v>1640</v>
      </c>
      <c r="AD140" s="58"/>
      <c r="AE140" s="58">
        <f>IF(H140&gt;0,30*F140,0)</f>
        <v>30</v>
      </c>
      <c r="AF140" s="58">
        <f>IF(AG140&gt;0,AG71:AG140,0)</f>
        <v>1610</v>
      </c>
      <c r="AG140" s="58">
        <f>AC140-AE140</f>
        <v>1610</v>
      </c>
      <c r="AI140">
        <f>IF(S140=1,O140-T140,0)</f>
        <v>0</v>
      </c>
      <c r="AJ140">
        <f>IF(S140=2,O140-T140,0)</f>
        <v>0</v>
      </c>
      <c r="AK140">
        <f>IF(S140=3,O140-T140,0)</f>
        <v>0</v>
      </c>
      <c r="AL140">
        <f>IF(S140=4,O140-T140,0)</f>
        <v>1600</v>
      </c>
      <c r="AN140">
        <f>IF(S140=1,O140-T140,0)</f>
        <v>0</v>
      </c>
      <c r="AO140">
        <f>IF(S140=2,O140-T140,0)</f>
        <v>0</v>
      </c>
      <c r="AP140">
        <f>IF(S140=3,O140-T140,0)</f>
        <v>0</v>
      </c>
      <c r="AQ140">
        <f>IF(S140=4,O140-T140,0)</f>
        <v>1600</v>
      </c>
    </row>
    <row r="141" spans="1:44" s="84" customFormat="1" ht="14.45" x14ac:dyDescent="0.3">
      <c r="B141" s="103" t="s">
        <v>83</v>
      </c>
      <c r="C141" s="86" t="s">
        <v>43</v>
      </c>
      <c r="D141" s="85" t="s">
        <v>43</v>
      </c>
      <c r="E141" s="84">
        <f t="shared" si="126"/>
        <v>4</v>
      </c>
      <c r="F141" s="84">
        <f t="shared" si="127"/>
        <v>0</v>
      </c>
      <c r="G141" s="108" t="s">
        <v>609</v>
      </c>
      <c r="H141" s="85">
        <v>4</v>
      </c>
      <c r="I141" s="85"/>
      <c r="J141" s="84" t="s">
        <v>64</v>
      </c>
      <c r="K141" s="84" t="s">
        <v>56</v>
      </c>
      <c r="L141" s="90">
        <v>3</v>
      </c>
      <c r="M141" s="96" t="s">
        <v>37</v>
      </c>
      <c r="O141" s="107">
        <v>0</v>
      </c>
      <c r="P141" s="58">
        <f t="shared" si="128"/>
        <v>0</v>
      </c>
      <c r="Q141" s="84">
        <f t="shared" si="129"/>
        <v>0</v>
      </c>
      <c r="R141" s="57"/>
      <c r="S141" s="89"/>
      <c r="T141" s="89">
        <f t="shared" si="130"/>
        <v>0</v>
      </c>
      <c r="U141" s="87" t="str">
        <f t="shared" si="131"/>
        <v>NONE</v>
      </c>
      <c r="V141" s="97"/>
      <c r="W141" s="90"/>
      <c r="X141" s="89">
        <f t="shared" si="132"/>
        <v>0</v>
      </c>
      <c r="Y141" s="89"/>
      <c r="Z141" s="58">
        <f t="shared" si="133"/>
        <v>0</v>
      </c>
      <c r="AA141" s="58">
        <f t="shared" si="134"/>
        <v>130</v>
      </c>
      <c r="AB141" s="58"/>
      <c r="AC141" s="98">
        <f t="shared" si="135"/>
        <v>-130</v>
      </c>
      <c r="AD141" s="58"/>
      <c r="AE141" s="58">
        <f t="shared" si="136"/>
        <v>0</v>
      </c>
      <c r="AF141" s="58">
        <f>IF(AG141&gt;0,AG76:AG141,0)</f>
        <v>0</v>
      </c>
      <c r="AG141" s="58">
        <f t="shared" si="117"/>
        <v>-130</v>
      </c>
      <c r="AI141">
        <f t="shared" si="118"/>
        <v>0</v>
      </c>
      <c r="AJ141">
        <f t="shared" si="119"/>
        <v>0</v>
      </c>
      <c r="AK141">
        <f t="shared" si="120"/>
        <v>0</v>
      </c>
      <c r="AL141">
        <f t="shared" si="121"/>
        <v>0</v>
      </c>
      <c r="AM141"/>
      <c r="AN141">
        <f t="shared" si="122"/>
        <v>0</v>
      </c>
      <c r="AO141">
        <f t="shared" si="123"/>
        <v>0</v>
      </c>
      <c r="AP141">
        <f t="shared" si="124"/>
        <v>0</v>
      </c>
      <c r="AQ141">
        <f t="shared" si="125"/>
        <v>0</v>
      </c>
    </row>
    <row r="142" spans="1:44" ht="14.45" x14ac:dyDescent="0.3">
      <c r="A142" s="45"/>
      <c r="B142" s="194">
        <f>COUNTIFS(D110:D141,"&lt;&gt;NA")-COUNTIFS(D110:D141,"="&amp;D1)</f>
        <v>21</v>
      </c>
      <c r="C142" s="174" t="s">
        <v>479</v>
      </c>
      <c r="D142" s="46">
        <f>SUM(E109:E141)</f>
        <v>112</v>
      </c>
      <c r="E142" s="46"/>
      <c r="F142" s="46"/>
      <c r="G142" s="63" t="s">
        <v>219</v>
      </c>
      <c r="H142" s="62">
        <f>SUM(H109:H141)-SUM(E109:E141)</f>
        <v>221</v>
      </c>
      <c r="I142" s="62"/>
      <c r="J142" s="61">
        <f>ROUND(H142/7,0)</f>
        <v>32</v>
      </c>
      <c r="K142" s="61" t="s">
        <v>218</v>
      </c>
      <c r="L142" s="63" t="s">
        <v>220</v>
      </c>
      <c r="M142" s="151">
        <f>ROUND(AF142/J142,0)</f>
        <v>1335</v>
      </c>
      <c r="N142" s="45"/>
      <c r="O142" s="82">
        <f>SUM(O109:O141)</f>
        <v>44072</v>
      </c>
      <c r="P142" s="49"/>
      <c r="Q142" s="80">
        <f>Z142</f>
        <v>0</v>
      </c>
      <c r="R142" s="79" t="s">
        <v>258</v>
      </c>
      <c r="S142" s="126"/>
      <c r="T142" s="73"/>
      <c r="U142" s="48"/>
      <c r="V142" s="48"/>
      <c r="W142" s="47"/>
      <c r="X142" s="49"/>
      <c r="Y142" s="49">
        <f>Z142</f>
        <v>0</v>
      </c>
      <c r="Z142" s="49">
        <f>SUM(Z109:Z141)</f>
        <v>0</v>
      </c>
      <c r="AA142" s="49">
        <f>SUM(AA109:AA141)</f>
        <v>4030</v>
      </c>
      <c r="AB142" s="49">
        <f>AA142</f>
        <v>4030</v>
      </c>
      <c r="AC142" s="45"/>
      <c r="AD142" s="49"/>
      <c r="AE142" s="49">
        <f>SUM(AE109:AE141)</f>
        <v>630</v>
      </c>
      <c r="AF142" s="49">
        <f>SUM(AF109:AF141)</f>
        <v>42713</v>
      </c>
      <c r="AG142" s="82">
        <f>SUM(AG109:AG141)</f>
        <v>41413</v>
      </c>
      <c r="AH142" s="45">
        <f>AG142</f>
        <v>41413</v>
      </c>
      <c r="AI142" s="129">
        <f>SUM(AI110:AI141)</f>
        <v>7106</v>
      </c>
      <c r="AJ142" s="129">
        <f t="shared" ref="AJ142:AL142" si="159">SUM(AJ110:AJ141)</f>
        <v>11280</v>
      </c>
      <c r="AK142" s="129">
        <f t="shared" si="159"/>
        <v>11239</v>
      </c>
      <c r="AL142" s="129">
        <f t="shared" si="159"/>
        <v>12446</v>
      </c>
      <c r="AM142" s="131">
        <f>SUM(AI142:AL142)</f>
        <v>42071</v>
      </c>
      <c r="AN142" s="129">
        <f t="shared" ref="AN142:AQ142" si="160">SUM(AN110:AN141)</f>
        <v>7106</v>
      </c>
      <c r="AO142" s="129">
        <f t="shared" si="160"/>
        <v>11280</v>
      </c>
      <c r="AP142" s="129">
        <f t="shared" si="160"/>
        <v>11239</v>
      </c>
      <c r="AQ142" s="129">
        <f t="shared" si="160"/>
        <v>12446</v>
      </c>
      <c r="AR142" s="131">
        <f>SUM(AN142:AQ142)</f>
        <v>42071</v>
      </c>
    </row>
    <row r="143" spans="1:44" ht="21" customHeight="1" x14ac:dyDescent="0.45">
      <c r="A143" s="130"/>
      <c r="B143" s="150">
        <v>2014</v>
      </c>
      <c r="C143" s="133"/>
      <c r="D143" s="132"/>
      <c r="E143" s="132"/>
      <c r="F143" s="132"/>
      <c r="G143" s="134"/>
      <c r="H143" s="135"/>
      <c r="I143" s="135"/>
      <c r="J143" s="136"/>
      <c r="K143" s="136"/>
      <c r="L143" s="134"/>
      <c r="M143" s="137"/>
      <c r="N143" s="130"/>
      <c r="O143" s="138"/>
      <c r="P143" s="139"/>
      <c r="Q143" s="140"/>
      <c r="R143" s="141"/>
      <c r="S143" s="142"/>
      <c r="T143" s="143"/>
      <c r="U143" s="144"/>
      <c r="V143" s="144"/>
      <c r="W143" s="145"/>
      <c r="X143" s="139"/>
      <c r="Y143" s="139"/>
      <c r="Z143" s="139"/>
      <c r="AA143" s="139"/>
      <c r="AB143" s="139"/>
      <c r="AC143" s="130"/>
      <c r="AD143" s="139"/>
      <c r="AE143" s="139"/>
      <c r="AF143" s="139"/>
      <c r="AG143" s="138"/>
      <c r="AH143" s="45"/>
      <c r="AI143" s="119">
        <f>ROUNDUP(AI142*0.04,0)</f>
        <v>285</v>
      </c>
      <c r="AJ143" s="119">
        <f t="shared" ref="AJ143" si="161">ROUNDUP(AJ142*0.04,0)</f>
        <v>452</v>
      </c>
      <c r="AK143" s="119">
        <f t="shared" ref="AK143" si="162">ROUNDUP(AK142*0.04,0)</f>
        <v>450</v>
      </c>
      <c r="AL143" s="119">
        <f t="shared" ref="AL143" si="163">ROUNDUP(AL142*0.04,0)</f>
        <v>498</v>
      </c>
      <c r="AM143" s="131">
        <f t="shared" ref="AM143" si="164">SUM(AI143:AL143)</f>
        <v>1685</v>
      </c>
      <c r="AN143" s="119">
        <f>ROUNDUP(AN142*0.06,0)</f>
        <v>427</v>
      </c>
      <c r="AO143" s="119">
        <f t="shared" ref="AO143" si="165">ROUNDUP(AO142*0.06,0)</f>
        <v>677</v>
      </c>
      <c r="AP143" s="119">
        <f t="shared" ref="AP143" si="166">ROUNDUP(AP142*0.06,0)</f>
        <v>675</v>
      </c>
      <c r="AQ143" s="119">
        <f t="shared" ref="AQ143" si="167">ROUNDUP(AQ142*0.06,0)</f>
        <v>747</v>
      </c>
      <c r="AR143" s="131">
        <f t="shared" ref="AR143" si="168">SUM(AN143:AQ143)</f>
        <v>2526</v>
      </c>
    </row>
    <row r="144" spans="1:44" s="84" customFormat="1" ht="14.45" x14ac:dyDescent="0.3">
      <c r="B144" s="103" t="s">
        <v>83</v>
      </c>
      <c r="C144" s="86" t="s">
        <v>43</v>
      </c>
      <c r="D144" s="84" t="s">
        <v>43</v>
      </c>
      <c r="E144" s="84">
        <f>IF(D144=$B$12,H144,0)</f>
        <v>58</v>
      </c>
      <c r="F144" s="84">
        <f>IF(E144&gt;0,0,1)</f>
        <v>0</v>
      </c>
      <c r="G144" s="108" t="s">
        <v>446</v>
      </c>
      <c r="H144" s="148">
        <v>58</v>
      </c>
      <c r="I144" s="85"/>
      <c r="J144" s="84" t="s">
        <v>144</v>
      </c>
      <c r="K144" s="84" t="s">
        <v>56</v>
      </c>
      <c r="L144" s="90">
        <v>3</v>
      </c>
      <c r="M144" s="4" t="s">
        <v>393</v>
      </c>
      <c r="O144" s="107">
        <v>0</v>
      </c>
      <c r="P144" s="58">
        <f>ROUND((O144*0.4),0)</f>
        <v>0</v>
      </c>
      <c r="Q144" s="84">
        <f>IF(O144&gt;0,((O144+500)-P144)+T144,0)</f>
        <v>0</v>
      </c>
      <c r="R144" s="57"/>
      <c r="S144" s="89">
        <v>1</v>
      </c>
      <c r="T144" s="89">
        <f>IF(U144=$AD$2,47,IF(U144=$AD$1,ROUND(((O144+500)*0.039),0),IF(U144=$AD$3,0)))</f>
        <v>0</v>
      </c>
      <c r="U144" s="87" t="str">
        <f t="shared" ref="U144:U149" si="169">IF(V144=1,$AD$2,IF(V144=2,$AD$1,IF(AND(V144&lt;&gt;1,V144&lt;&gt;20)=TRUE,$AD$3)))</f>
        <v>NONE</v>
      </c>
      <c r="V144" s="97"/>
      <c r="W144" s="90"/>
      <c r="X144" s="89">
        <f t="shared" ref="X144:X149" si="170">Q144+P144</f>
        <v>0</v>
      </c>
      <c r="Y144" s="89"/>
      <c r="Z144" s="58">
        <f t="shared" ref="Z144:Z149" si="171">IF(W144=$Z$1,Q144-500,0)</f>
        <v>0</v>
      </c>
      <c r="AA144" s="58">
        <f t="shared" ref="AA144:AA149" si="172">IF(H144&gt;0,130,0)</f>
        <v>130</v>
      </c>
      <c r="AB144" s="58"/>
      <c r="AC144" s="98">
        <f t="shared" ref="AC144:AC149" si="173">(O144+T144)-AA144</f>
        <v>-130</v>
      </c>
      <c r="AD144" s="58"/>
      <c r="AE144" s="58">
        <f t="shared" ref="AE144:AE149" si="174">IF(H144&gt;0,30*F144,0)</f>
        <v>0</v>
      </c>
      <c r="AF144" s="58">
        <f>IF(AG144&gt;0,AG78:AG144,0)</f>
        <v>0</v>
      </c>
      <c r="AG144" s="58">
        <f t="shared" ref="AG144:AG157" si="175">AC144-AE144</f>
        <v>-130</v>
      </c>
      <c r="AI144">
        <f t="shared" ref="AI144:AI157" si="176">IF(S144=1,O144-T144,0)</f>
        <v>0</v>
      </c>
      <c r="AJ144">
        <f t="shared" ref="AJ144:AJ157" si="177">IF(S144=2,O144-T144,0)</f>
        <v>0</v>
      </c>
      <c r="AK144">
        <f t="shared" ref="AK144:AK157" si="178">IF(S144=3,O144-T144,0)</f>
        <v>0</v>
      </c>
      <c r="AL144">
        <f t="shared" ref="AL144:AL157" si="179">IF(S144=4,O144-T144,0)</f>
        <v>0</v>
      </c>
      <c r="AM144"/>
      <c r="AN144">
        <f t="shared" ref="AN144:AN157" si="180">IF(S144=1,O144-T144,0)</f>
        <v>0</v>
      </c>
      <c r="AO144">
        <f t="shared" ref="AO144:AO157" si="181">IF(S144=2,O144-T144,0)</f>
        <v>0</v>
      </c>
      <c r="AP144">
        <f t="shared" ref="AP144:AP157" si="182">IF(S144=3,O144-T144,0)</f>
        <v>0</v>
      </c>
      <c r="AQ144">
        <f t="shared" ref="AQ144:AQ157" si="183">IF(S144=4,O144-T144,0)</f>
        <v>0</v>
      </c>
    </row>
    <row r="145" spans="2:43" ht="14.45" x14ac:dyDescent="0.3">
      <c r="B145" s="103" t="s">
        <v>83</v>
      </c>
      <c r="C145" t="s">
        <v>43</v>
      </c>
      <c r="D145" s="84" t="s">
        <v>43</v>
      </c>
      <c r="E145" s="85">
        <f t="shared" ref="E145" si="184">IF(D145=$B$12,H145,0)</f>
        <v>3</v>
      </c>
      <c r="F145" s="85">
        <f t="shared" ref="F145:F157" si="185">IF(E145&gt;0,0,1)</f>
        <v>0</v>
      </c>
      <c r="G145" s="169" t="s">
        <v>443</v>
      </c>
      <c r="H145" s="86">
        <v>3</v>
      </c>
      <c r="I145" s="88"/>
      <c r="J145" s="84" t="s">
        <v>144</v>
      </c>
      <c r="K145" s="60" t="s">
        <v>56</v>
      </c>
      <c r="L145" s="60">
        <v>3</v>
      </c>
      <c r="M145" s="4" t="s">
        <v>37</v>
      </c>
      <c r="N145" s="84"/>
      <c r="O145" s="163">
        <v>0</v>
      </c>
      <c r="P145" s="113">
        <f>ROUND((O145*0.4),0)</f>
        <v>0</v>
      </c>
      <c r="Q145" s="85">
        <f>IF(O145&gt;0,((O145+500)-P145)+T145,0)</f>
        <v>0</v>
      </c>
      <c r="R145" s="57"/>
      <c r="S145" s="154">
        <v>1</v>
      </c>
      <c r="T145" s="154">
        <v>0</v>
      </c>
      <c r="U145" s="87" t="str">
        <f t="shared" si="169"/>
        <v>PAYPAL</v>
      </c>
      <c r="V145" s="97">
        <v>2</v>
      </c>
      <c r="W145" s="146"/>
      <c r="X145" s="154">
        <f t="shared" si="170"/>
        <v>0</v>
      </c>
      <c r="Y145" s="154"/>
      <c r="Z145" s="113">
        <f t="shared" si="171"/>
        <v>0</v>
      </c>
      <c r="AA145" s="113">
        <f t="shared" si="172"/>
        <v>130</v>
      </c>
      <c r="AB145" s="113"/>
      <c r="AC145" s="155">
        <f t="shared" si="173"/>
        <v>-130</v>
      </c>
      <c r="AD145" s="113"/>
      <c r="AE145" s="113">
        <f t="shared" si="174"/>
        <v>0</v>
      </c>
      <c r="AF145" s="113">
        <f>IF(AG145&gt;0,AG78:AG145,0)</f>
        <v>0</v>
      </c>
      <c r="AG145" s="113">
        <f t="shared" si="175"/>
        <v>-130</v>
      </c>
      <c r="AI145">
        <f t="shared" si="176"/>
        <v>0</v>
      </c>
      <c r="AJ145">
        <f t="shared" si="177"/>
        <v>0</v>
      </c>
      <c r="AK145">
        <f t="shared" si="178"/>
        <v>0</v>
      </c>
      <c r="AL145">
        <f t="shared" si="179"/>
        <v>0</v>
      </c>
      <c r="AN145">
        <f t="shared" si="180"/>
        <v>0</v>
      </c>
      <c r="AO145">
        <f t="shared" si="181"/>
        <v>0</v>
      </c>
      <c r="AP145">
        <f t="shared" si="182"/>
        <v>0</v>
      </c>
      <c r="AQ145">
        <f t="shared" si="183"/>
        <v>0</v>
      </c>
    </row>
    <row r="146" spans="2:43" ht="14.45" x14ac:dyDescent="0.3">
      <c r="B146" s="148" t="s">
        <v>563</v>
      </c>
      <c r="C146" t="s">
        <v>564</v>
      </c>
      <c r="D146" s="84" t="s">
        <v>376</v>
      </c>
      <c r="E146" s="84">
        <f>IF(D146=$B$12,H146,0)</f>
        <v>0</v>
      </c>
      <c r="F146" s="84">
        <f>IF(E146&gt;0,0,1)</f>
        <v>1</v>
      </c>
      <c r="G146" s="84" t="s">
        <v>584</v>
      </c>
      <c r="H146" s="85">
        <v>6</v>
      </c>
      <c r="I146" s="85"/>
      <c r="J146" s="84" t="s">
        <v>109</v>
      </c>
      <c r="K146" s="84" t="s">
        <v>56</v>
      </c>
      <c r="L146" s="90">
        <v>0</v>
      </c>
      <c r="M146" s="96" t="s">
        <v>37</v>
      </c>
      <c r="N146" s="84"/>
      <c r="O146" s="107">
        <v>1141</v>
      </c>
      <c r="P146" s="58">
        <f>ROUND((O146*0.4),0)</f>
        <v>456</v>
      </c>
      <c r="Q146" s="84">
        <f>IF(O146&gt;0,((O146+500)-P146)+T146,0)+228</f>
        <v>1477</v>
      </c>
      <c r="R146" s="57" t="s">
        <v>565</v>
      </c>
      <c r="S146" s="89">
        <v>1</v>
      </c>
      <c r="T146" s="89">
        <f>IF(U146=$AD$2,47,IF(U146=$AD$1,ROUND(((O146+500)*0.039),0),IF(U146=$AD$3,0)))</f>
        <v>64</v>
      </c>
      <c r="U146" s="87" t="str">
        <f t="shared" si="169"/>
        <v>PAYPAL</v>
      </c>
      <c r="V146" s="97">
        <v>2</v>
      </c>
      <c r="W146" s="90" t="s">
        <v>26</v>
      </c>
      <c r="X146" s="89">
        <f t="shared" si="170"/>
        <v>1933</v>
      </c>
      <c r="Y146" s="89"/>
      <c r="Z146" s="58">
        <f t="shared" si="171"/>
        <v>0</v>
      </c>
      <c r="AA146" s="58">
        <f t="shared" si="172"/>
        <v>130</v>
      </c>
      <c r="AB146" s="58"/>
      <c r="AC146" s="98">
        <f t="shared" si="173"/>
        <v>1075</v>
      </c>
      <c r="AD146" s="58"/>
      <c r="AE146" s="58">
        <f t="shared" si="174"/>
        <v>30</v>
      </c>
      <c r="AF146" s="58">
        <f>IF(AG146&gt;0,AG49:AG146,0)</f>
        <v>1045</v>
      </c>
      <c r="AG146" s="58">
        <f>AC146-AE146</f>
        <v>1045</v>
      </c>
      <c r="AI146">
        <f>IF(S146=1,O146-T146,0)</f>
        <v>1077</v>
      </c>
      <c r="AJ146">
        <f>IF(S146=2,O146-T146,0)</f>
        <v>0</v>
      </c>
      <c r="AK146">
        <f>IF(S146=3,O146-T146,0)</f>
        <v>0</v>
      </c>
      <c r="AL146">
        <f>IF(S146=4,O146-T146,0)</f>
        <v>0</v>
      </c>
      <c r="AN146">
        <f>IF(S146=1,O146-T146,0)</f>
        <v>1077</v>
      </c>
      <c r="AO146">
        <f>IF(S146=2,O146-T146,0)</f>
        <v>0</v>
      </c>
      <c r="AP146">
        <f>IF(S146=3,O146-T146,0)</f>
        <v>0</v>
      </c>
      <c r="AQ146">
        <f>IF(S146=4,O146-T146,0)</f>
        <v>0</v>
      </c>
    </row>
    <row r="147" spans="2:43" ht="14.45" x14ac:dyDescent="0.3">
      <c r="B147" s="148" t="s">
        <v>613</v>
      </c>
      <c r="C147" t="s">
        <v>614</v>
      </c>
      <c r="D147" s="84" t="s">
        <v>376</v>
      </c>
      <c r="E147" s="84">
        <f>IF(D147=$B$12,H147,0)</f>
        <v>0</v>
      </c>
      <c r="F147" s="84">
        <f>IF(E147&gt;0,0,1)</f>
        <v>1</v>
      </c>
      <c r="G147" s="84" t="s">
        <v>427</v>
      </c>
      <c r="H147" s="85">
        <v>7</v>
      </c>
      <c r="I147" s="85"/>
      <c r="J147" s="84" t="s">
        <v>188</v>
      </c>
      <c r="K147" s="84" t="s">
        <v>56</v>
      </c>
      <c r="L147" s="90">
        <v>0</v>
      </c>
      <c r="M147" s="96" t="s">
        <v>37</v>
      </c>
      <c r="N147" s="84"/>
      <c r="O147" s="107">
        <v>1768</v>
      </c>
      <c r="P147" s="58">
        <f>ROUND((O147*0.4),0)</f>
        <v>707</v>
      </c>
      <c r="Q147" s="84">
        <f>IF(O147&gt;0,((O147+500)-P147)+T147,0)</f>
        <v>1649</v>
      </c>
      <c r="R147" s="57" t="s">
        <v>615</v>
      </c>
      <c r="S147" s="89">
        <v>1</v>
      </c>
      <c r="T147" s="89">
        <f>IF(U147=$AD$2,47,IF(U147=$AD$1,ROUND(((O147+500)*0.039),0),IF(U147=$AD$3,0)))</f>
        <v>88</v>
      </c>
      <c r="U147" s="87" t="str">
        <f t="shared" si="169"/>
        <v>PAYPAL</v>
      </c>
      <c r="V147" s="97">
        <v>2</v>
      </c>
      <c r="W147" s="90" t="s">
        <v>166</v>
      </c>
      <c r="X147" s="89">
        <f t="shared" si="170"/>
        <v>2356</v>
      </c>
      <c r="Y147" s="89"/>
      <c r="Z147" s="58">
        <f t="shared" si="171"/>
        <v>0</v>
      </c>
      <c r="AA147" s="58">
        <f t="shared" si="172"/>
        <v>130</v>
      </c>
      <c r="AB147" s="58"/>
      <c r="AC147" s="98">
        <f t="shared" si="173"/>
        <v>1726</v>
      </c>
      <c r="AD147" s="58"/>
      <c r="AE147" s="58">
        <f t="shared" si="174"/>
        <v>30</v>
      </c>
      <c r="AF147" s="58">
        <f>IF(AG147&gt;0,AG82:AG149,0)</f>
        <v>1696</v>
      </c>
      <c r="AG147" s="58">
        <f>AC147-AE147</f>
        <v>1696</v>
      </c>
      <c r="AI147">
        <f>IF(S147=1,O147-T147,0)</f>
        <v>1680</v>
      </c>
      <c r="AJ147">
        <f>IF(S147=2,O147-T147,0)</f>
        <v>0</v>
      </c>
      <c r="AK147">
        <f>IF(S147=3,O147-T147,0)</f>
        <v>0</v>
      </c>
      <c r="AL147">
        <f>IF(S147=4,O147-T147,0)</f>
        <v>0</v>
      </c>
      <c r="AN147">
        <f>IF(S147=1,O147-T147,0)</f>
        <v>1680</v>
      </c>
      <c r="AO147">
        <f>IF(S147=2,O147-T147,0)</f>
        <v>0</v>
      </c>
      <c r="AP147">
        <f>IF(S147=3,O147-T147,0)</f>
        <v>0</v>
      </c>
      <c r="AQ147">
        <f>IF(S147=4,O147-T147,0)</f>
        <v>0</v>
      </c>
    </row>
    <row r="148" spans="2:43" ht="14.45" hidden="1" x14ac:dyDescent="0.3">
      <c r="B148" s="166" t="s">
        <v>426</v>
      </c>
      <c r="C148" t="s">
        <v>425</v>
      </c>
      <c r="D148" s="85" t="s">
        <v>31</v>
      </c>
      <c r="E148" s="84">
        <f>IF(D148=$B$12,H148,0)</f>
        <v>0</v>
      </c>
      <c r="F148" s="84">
        <f>IF(E148&gt;0,0,1)</f>
        <v>1</v>
      </c>
      <c r="G148" s="193" t="s">
        <v>427</v>
      </c>
      <c r="H148" s="85">
        <v>7</v>
      </c>
      <c r="I148" s="85"/>
      <c r="J148" s="193" t="s">
        <v>612</v>
      </c>
      <c r="K148" s="84" t="s">
        <v>56</v>
      </c>
      <c r="L148" s="90">
        <v>0</v>
      </c>
      <c r="M148" s="4" t="s">
        <v>37</v>
      </c>
      <c r="N148" s="84"/>
      <c r="O148" s="107"/>
      <c r="P148" s="58"/>
      <c r="Q148" s="84">
        <f>IF(O148&gt;0,((O148+500)-P148)+T148,0)</f>
        <v>0</v>
      </c>
      <c r="R148" s="57"/>
      <c r="S148" s="89">
        <v>1</v>
      </c>
      <c r="T148" s="89">
        <f>IF(U148=$AD$2,47,IF(U148=$AD$1,ROUND(((O148+500)*0.039),0),IF(U148=$AD$3,0)))</f>
        <v>0</v>
      </c>
      <c r="U148" s="87" t="str">
        <f t="shared" si="169"/>
        <v>NONE</v>
      </c>
      <c r="V148" s="97"/>
      <c r="W148" s="90"/>
      <c r="X148" s="89">
        <f t="shared" si="170"/>
        <v>0</v>
      </c>
      <c r="Y148" s="89"/>
      <c r="Z148" s="58">
        <f t="shared" si="171"/>
        <v>0</v>
      </c>
      <c r="AA148" s="58">
        <f t="shared" si="172"/>
        <v>130</v>
      </c>
      <c r="AB148" s="58"/>
      <c r="AC148" s="98">
        <f t="shared" si="173"/>
        <v>-130</v>
      </c>
      <c r="AD148" s="58"/>
      <c r="AE148" s="58">
        <f t="shared" si="174"/>
        <v>30</v>
      </c>
      <c r="AF148" s="58">
        <f>IF(AG148&gt;0,AG83:AG150,0)</f>
        <v>0</v>
      </c>
      <c r="AG148" s="58">
        <f>AC148-AE148</f>
        <v>-160</v>
      </c>
      <c r="AI148">
        <f>IF(S148=1,O148-T148,0)</f>
        <v>0</v>
      </c>
      <c r="AJ148">
        <f>IF(S148=2,O148-T148,0)</f>
        <v>0</v>
      </c>
      <c r="AK148">
        <f>IF(S148=3,O148-T148,0)</f>
        <v>0</v>
      </c>
      <c r="AL148">
        <f>IF(S148=4,O148-T148,0)</f>
        <v>0</v>
      </c>
      <c r="AN148">
        <f>IF(S148=1,O148-T148,0)</f>
        <v>0</v>
      </c>
      <c r="AO148">
        <f>IF(S148=2,O148-T148,0)</f>
        <v>0</v>
      </c>
      <c r="AP148">
        <f>IF(S148=3,O148-T148,0)</f>
        <v>0</v>
      </c>
      <c r="AQ148">
        <f>IF(S148=4,O148-T148,0)</f>
        <v>0</v>
      </c>
    </row>
    <row r="149" spans="2:43" s="84" customFormat="1" ht="14.45" x14ac:dyDescent="0.3">
      <c r="B149" s="147" t="s">
        <v>503</v>
      </c>
      <c r="C149" t="s">
        <v>504</v>
      </c>
      <c r="D149" s="85" t="s">
        <v>62</v>
      </c>
      <c r="E149" s="84">
        <f>IF(D149=$B$12,H149,0)</f>
        <v>0</v>
      </c>
      <c r="F149" s="84">
        <f>IF(E149&gt;0,0,1)</f>
        <v>1</v>
      </c>
      <c r="G149" s="84" t="s">
        <v>505</v>
      </c>
      <c r="H149" s="85">
        <v>7</v>
      </c>
      <c r="I149" s="85"/>
      <c r="J149" s="85" t="s">
        <v>506</v>
      </c>
      <c r="K149" s="84" t="s">
        <v>56</v>
      </c>
      <c r="L149" s="90">
        <v>0</v>
      </c>
      <c r="M149" s="96" t="s">
        <v>37</v>
      </c>
      <c r="O149" s="107">
        <v>1540</v>
      </c>
      <c r="P149" s="58">
        <f>ROUND((O149*0.4),0)</f>
        <v>616</v>
      </c>
      <c r="Q149" s="84">
        <f>IF(O149&gt;0,((O149+500)-P149)+T149,0)</f>
        <v>1504</v>
      </c>
      <c r="R149" s="191" t="s">
        <v>608</v>
      </c>
      <c r="S149" s="89">
        <v>1</v>
      </c>
      <c r="T149" s="89">
        <f>IF(U149=$AD$2,47,IF(U149=$AD$1,ROUND(((O149+500)*0.039),0),IF(U149=$AD$3,0)))</f>
        <v>80</v>
      </c>
      <c r="U149" s="87" t="str">
        <f t="shared" si="169"/>
        <v>PAYPAL</v>
      </c>
      <c r="V149" s="97">
        <v>2</v>
      </c>
      <c r="W149" s="90" t="s">
        <v>674</v>
      </c>
      <c r="X149" s="89">
        <f t="shared" si="170"/>
        <v>2120</v>
      </c>
      <c r="Y149" s="89"/>
      <c r="Z149" s="58">
        <f t="shared" si="171"/>
        <v>0</v>
      </c>
      <c r="AA149" s="58">
        <f t="shared" si="172"/>
        <v>130</v>
      </c>
      <c r="AB149" s="58"/>
      <c r="AC149" s="98">
        <f t="shared" si="173"/>
        <v>1490</v>
      </c>
      <c r="AD149" s="58"/>
      <c r="AE149" s="58">
        <f t="shared" si="174"/>
        <v>30</v>
      </c>
      <c r="AF149" s="58">
        <f>IF(AG149&gt;0,AG77:AG149,0)</f>
        <v>1460</v>
      </c>
      <c r="AG149" s="58">
        <f>AC149-AE149</f>
        <v>1460</v>
      </c>
      <c r="AI149" s="84">
        <f>IF(S149=1,O149-T149,0)</f>
        <v>1460</v>
      </c>
      <c r="AJ149" s="84">
        <f>IF(S149=2,O149-T149,0)</f>
        <v>0</v>
      </c>
      <c r="AK149" s="84">
        <f>IF(S149=3,O149-T149,0)</f>
        <v>0</v>
      </c>
      <c r="AL149" s="84">
        <f>IF(S149=4,O149-T149,0)</f>
        <v>0</v>
      </c>
      <c r="AN149" s="84">
        <f>IF(S149=1,O149-T149,0)</f>
        <v>1460</v>
      </c>
      <c r="AO149" s="84">
        <f>IF(S149=2,O149-T149,0)</f>
        <v>0</v>
      </c>
      <c r="AP149" s="84">
        <f>IF(S149=3,O149-T149,0)</f>
        <v>0</v>
      </c>
      <c r="AQ149" s="84">
        <f>IF(S149=4,O149-T149,0)</f>
        <v>0</v>
      </c>
    </row>
    <row r="150" spans="2:43" ht="14.45" x14ac:dyDescent="0.3">
      <c r="B150" s="103" t="s">
        <v>544</v>
      </c>
      <c r="C150" s="86" t="s">
        <v>43</v>
      </c>
      <c r="D150" s="84" t="s">
        <v>43</v>
      </c>
      <c r="E150" s="85">
        <f t="shared" ref="E150:E157" si="186">IF(D150=$B$12,H150,0)</f>
        <v>2</v>
      </c>
      <c r="F150" s="85">
        <f t="shared" si="185"/>
        <v>0</v>
      </c>
      <c r="G150" s="108" t="s">
        <v>543</v>
      </c>
      <c r="H150" s="85">
        <v>2</v>
      </c>
      <c r="I150" s="85"/>
      <c r="J150" s="84" t="s">
        <v>64</v>
      </c>
      <c r="K150" s="84" t="s">
        <v>56</v>
      </c>
      <c r="L150" s="146">
        <v>3</v>
      </c>
      <c r="M150" s="4" t="s">
        <v>37</v>
      </c>
      <c r="N150" s="85"/>
      <c r="O150" s="163">
        <v>0</v>
      </c>
      <c r="P150" s="113">
        <f t="shared" ref="P150:P157" si="187">ROUND((O150*0.4),0)</f>
        <v>0</v>
      </c>
      <c r="Q150" s="85">
        <f t="shared" ref="Q150:Q157" si="188">IF(O150&gt;0,((O150+500)-P150)+T150,0)</f>
        <v>0</v>
      </c>
      <c r="R150" s="153"/>
      <c r="S150" s="154">
        <v>1</v>
      </c>
      <c r="T150" s="154">
        <f t="shared" ref="T150:T157" si="189">IF(U150=$AD$2,47,IF(U150=$AD$1,ROUND(((O150+500)*0.039),0),IF(U150=$AD$3,0)))</f>
        <v>0</v>
      </c>
      <c r="U150" s="87" t="str">
        <f t="shared" ref="U150:U157" si="190">IF(V150=1,$AD$2,IF(V150=2,$AD$1,IF(AND(V150&lt;&gt;1,V150&lt;&gt;20)=TRUE,$AD$3)))</f>
        <v>NONE</v>
      </c>
      <c r="V150" s="97"/>
      <c r="W150" s="146"/>
      <c r="X150" s="154">
        <f t="shared" ref="X150:X157" si="191">Q150+P150</f>
        <v>0</v>
      </c>
      <c r="Y150" s="154"/>
      <c r="Z150" s="113">
        <f t="shared" ref="Z150:Z157" si="192">IF(W150=$Z$1,Q150-500,0)</f>
        <v>0</v>
      </c>
      <c r="AA150" s="113">
        <f t="shared" ref="AA150:AA157" si="193">IF(H150&gt;0,130,0)</f>
        <v>130</v>
      </c>
      <c r="AB150" s="113"/>
      <c r="AC150" s="155">
        <f t="shared" ref="AC150:AC157" si="194">(O150+T150)-AA150</f>
        <v>-130</v>
      </c>
      <c r="AD150" s="113"/>
      <c r="AE150" s="113">
        <f t="shared" ref="AE150:AE157" si="195">IF(H150&gt;0,30*F150,0)</f>
        <v>0</v>
      </c>
      <c r="AF150" s="113">
        <f>IF(AG150&gt;0,AG79:AG150,0)</f>
        <v>0</v>
      </c>
      <c r="AG150" s="113">
        <f t="shared" si="175"/>
        <v>-130</v>
      </c>
      <c r="AI150">
        <f t="shared" si="176"/>
        <v>0</v>
      </c>
      <c r="AJ150">
        <f t="shared" si="177"/>
        <v>0</v>
      </c>
      <c r="AK150">
        <f t="shared" si="178"/>
        <v>0</v>
      </c>
      <c r="AL150">
        <f t="shared" si="179"/>
        <v>0</v>
      </c>
      <c r="AN150">
        <f t="shared" si="180"/>
        <v>0</v>
      </c>
      <c r="AO150">
        <f t="shared" si="181"/>
        <v>0</v>
      </c>
      <c r="AP150">
        <f t="shared" si="182"/>
        <v>0</v>
      </c>
      <c r="AQ150">
        <f t="shared" si="183"/>
        <v>0</v>
      </c>
    </row>
    <row r="151" spans="2:43" ht="14.45" x14ac:dyDescent="0.3">
      <c r="B151" s="148" t="s">
        <v>547</v>
      </c>
      <c r="C151" t="s">
        <v>548</v>
      </c>
      <c r="D151" s="84" t="s">
        <v>31</v>
      </c>
      <c r="E151" s="85">
        <f t="shared" ref="E151" si="196">IF(D151=$B$12,H151,0)</f>
        <v>0</v>
      </c>
      <c r="F151" s="85">
        <f t="shared" ref="F151" si="197">IF(E151&gt;0,0,1)</f>
        <v>1</v>
      </c>
      <c r="G151" s="84" t="s">
        <v>549</v>
      </c>
      <c r="H151" s="85">
        <v>13</v>
      </c>
      <c r="I151" s="85"/>
      <c r="J151" s="84" t="s">
        <v>104</v>
      </c>
      <c r="K151" s="84" t="s">
        <v>56</v>
      </c>
      <c r="L151" s="146">
        <v>3</v>
      </c>
      <c r="M151" s="96" t="s">
        <v>37</v>
      </c>
      <c r="N151" s="85"/>
      <c r="O151" s="163">
        <v>2903</v>
      </c>
      <c r="P151" s="113">
        <f t="shared" ref="P151" si="198">ROUND((O151*0.4),0)</f>
        <v>1161</v>
      </c>
      <c r="Q151" s="85">
        <f t="shared" ref="Q151" si="199">IF(O151&gt;0,((O151+500)-P151)+T151,0)</f>
        <v>2375</v>
      </c>
      <c r="R151" s="57" t="s">
        <v>551</v>
      </c>
      <c r="S151" s="154">
        <v>1</v>
      </c>
      <c r="T151" s="154">
        <f t="shared" ref="T151" si="200">IF(U151=$AD$2,47,IF(U151=$AD$1,ROUND(((O151+500)*0.039),0),IF(U151=$AD$3,0)))</f>
        <v>133</v>
      </c>
      <c r="U151" s="87" t="str">
        <f t="shared" ref="U151" si="201">IF(V151=1,$AD$2,IF(V151=2,$AD$1,IF(AND(V151&lt;&gt;1,V151&lt;&gt;20)=TRUE,$AD$3)))</f>
        <v>PAYPAL</v>
      </c>
      <c r="V151" s="97">
        <v>2</v>
      </c>
      <c r="W151" s="90" t="s">
        <v>679</v>
      </c>
      <c r="X151" s="154">
        <f t="shared" ref="X151" si="202">Q151+P151</f>
        <v>3536</v>
      </c>
      <c r="Y151" s="154"/>
      <c r="Z151" s="113">
        <f t="shared" ref="Z151" si="203">IF(W151=$Z$1,Q151-500,0)</f>
        <v>0</v>
      </c>
      <c r="AA151" s="113">
        <f t="shared" ref="AA151" si="204">IF(H151&gt;0,130,0)</f>
        <v>130</v>
      </c>
      <c r="AB151" s="113"/>
      <c r="AC151" s="155">
        <f t="shared" ref="AC151" si="205">(O151+T151)-AA151</f>
        <v>2906</v>
      </c>
      <c r="AD151" s="113"/>
      <c r="AE151" s="113">
        <f t="shared" ref="AE151" si="206">IF(H151&gt;0,30*F151,0)</f>
        <v>30</v>
      </c>
      <c r="AF151" s="113">
        <f>IF(AG151&gt;0,AG80:AG151,0)</f>
        <v>2876</v>
      </c>
      <c r="AG151" s="113">
        <f t="shared" ref="AG151" si="207">AC151-AE151</f>
        <v>2876</v>
      </c>
      <c r="AH151" s="84"/>
      <c r="AI151" s="84">
        <f t="shared" ref="AI151" si="208">IF(S151=1,O151-T151,0)</f>
        <v>2770</v>
      </c>
      <c r="AJ151">
        <f t="shared" ref="AJ151" si="209">IF(S151=2,O151-T151,0)</f>
        <v>0</v>
      </c>
      <c r="AK151">
        <f t="shared" ref="AK151" si="210">IF(S151=3,O151-T151,0)</f>
        <v>0</v>
      </c>
      <c r="AL151">
        <f t="shared" ref="AL151" si="211">IF(S151=4,O151-T151,0)</f>
        <v>0</v>
      </c>
      <c r="AN151">
        <f t="shared" ref="AN151" si="212">IF(S151=1,O151-T151,0)</f>
        <v>2770</v>
      </c>
      <c r="AO151">
        <f t="shared" ref="AO151" si="213">IF(S151=2,O151-T151,0)</f>
        <v>0</v>
      </c>
      <c r="AP151">
        <f t="shared" ref="AP151" si="214">IF(S151=3,O151-T151,0)</f>
        <v>0</v>
      </c>
      <c r="AQ151">
        <f t="shared" ref="AQ151" si="215">IF(S151=4,O151-T151,0)</f>
        <v>0</v>
      </c>
    </row>
    <row r="152" spans="2:43" ht="23.45" x14ac:dyDescent="0.45">
      <c r="B152" s="84" t="s">
        <v>550</v>
      </c>
      <c r="C152" t="s">
        <v>61</v>
      </c>
      <c r="D152" s="84" t="s">
        <v>62</v>
      </c>
      <c r="E152" s="85">
        <f t="shared" si="186"/>
        <v>0</v>
      </c>
      <c r="F152" s="85">
        <f t="shared" si="185"/>
        <v>1</v>
      </c>
      <c r="G152" s="84" t="s">
        <v>417</v>
      </c>
      <c r="H152" s="85">
        <v>14</v>
      </c>
      <c r="I152" s="85"/>
      <c r="J152" s="84" t="s">
        <v>546</v>
      </c>
      <c r="K152" s="84" t="s">
        <v>56</v>
      </c>
      <c r="L152" s="146">
        <v>3</v>
      </c>
      <c r="M152" s="96" t="s">
        <v>37</v>
      </c>
      <c r="N152" s="85"/>
      <c r="O152" s="163">
        <v>2993</v>
      </c>
      <c r="P152" s="165">
        <f t="shared" si="187"/>
        <v>1197</v>
      </c>
      <c r="Q152" s="148">
        <f t="shared" si="188"/>
        <v>2343</v>
      </c>
      <c r="R152" s="195" t="s">
        <v>591</v>
      </c>
      <c r="S152" s="154">
        <v>2</v>
      </c>
      <c r="T152" s="154">
        <f t="shared" si="189"/>
        <v>47</v>
      </c>
      <c r="U152" s="87" t="str">
        <f t="shared" si="190"/>
        <v>BANK</v>
      </c>
      <c r="V152" s="97">
        <v>1</v>
      </c>
      <c r="W152" s="90" t="s">
        <v>166</v>
      </c>
      <c r="X152" s="154">
        <f>Q152+P152-500</f>
        <v>3040</v>
      </c>
      <c r="Y152" s="154"/>
      <c r="Z152" s="113">
        <f t="shared" si="192"/>
        <v>0</v>
      </c>
      <c r="AA152" s="113">
        <f t="shared" si="193"/>
        <v>130</v>
      </c>
      <c r="AB152" s="113"/>
      <c r="AC152" s="155">
        <f t="shared" si="194"/>
        <v>2910</v>
      </c>
      <c r="AD152" s="113"/>
      <c r="AE152" s="113">
        <f t="shared" si="195"/>
        <v>30</v>
      </c>
      <c r="AF152" s="113">
        <f>IF(AG152&gt;0,AG80:AG152,0)</f>
        <v>2880</v>
      </c>
      <c r="AG152" s="113">
        <f t="shared" si="175"/>
        <v>2880</v>
      </c>
      <c r="AI152">
        <f t="shared" si="176"/>
        <v>0</v>
      </c>
      <c r="AJ152">
        <f t="shared" si="177"/>
        <v>2946</v>
      </c>
      <c r="AK152">
        <f t="shared" si="178"/>
        <v>0</v>
      </c>
      <c r="AL152">
        <f t="shared" si="179"/>
        <v>0</v>
      </c>
      <c r="AN152">
        <f t="shared" si="180"/>
        <v>0</v>
      </c>
      <c r="AO152">
        <f t="shared" si="181"/>
        <v>2946</v>
      </c>
      <c r="AP152">
        <f t="shared" si="182"/>
        <v>0</v>
      </c>
      <c r="AQ152">
        <f t="shared" si="183"/>
        <v>0</v>
      </c>
    </row>
    <row r="153" spans="2:43" ht="14.45" x14ac:dyDescent="0.3">
      <c r="B153" s="103" t="s">
        <v>545</v>
      </c>
      <c r="C153" s="86" t="s">
        <v>444</v>
      </c>
      <c r="D153" s="84" t="s">
        <v>43</v>
      </c>
      <c r="E153" s="85">
        <f t="shared" si="186"/>
        <v>3</v>
      </c>
      <c r="F153" s="85">
        <f t="shared" si="185"/>
        <v>0</v>
      </c>
      <c r="G153" s="108" t="s">
        <v>658</v>
      </c>
      <c r="H153" s="85">
        <v>3</v>
      </c>
      <c r="I153" s="85"/>
      <c r="J153" s="84" t="s">
        <v>64</v>
      </c>
      <c r="K153" s="84" t="s">
        <v>56</v>
      </c>
      <c r="L153" s="146">
        <v>3</v>
      </c>
      <c r="M153" s="96" t="s">
        <v>37</v>
      </c>
      <c r="N153" s="85"/>
      <c r="O153" s="163">
        <v>0</v>
      </c>
      <c r="P153" s="113">
        <f t="shared" si="187"/>
        <v>0</v>
      </c>
      <c r="Q153" s="85">
        <f t="shared" si="188"/>
        <v>0</v>
      </c>
      <c r="R153" s="153"/>
      <c r="S153" s="154">
        <v>2</v>
      </c>
      <c r="T153" s="154">
        <f t="shared" si="189"/>
        <v>0</v>
      </c>
      <c r="U153" s="87" t="str">
        <f t="shared" si="190"/>
        <v>NONE</v>
      </c>
      <c r="V153" s="97"/>
      <c r="W153" s="146"/>
      <c r="X153" s="154">
        <f t="shared" si="191"/>
        <v>0</v>
      </c>
      <c r="Y153" s="154"/>
      <c r="Z153" s="113">
        <f t="shared" si="192"/>
        <v>0</v>
      </c>
      <c r="AA153" s="113">
        <f t="shared" si="193"/>
        <v>130</v>
      </c>
      <c r="AB153" s="113"/>
      <c r="AC153" s="155">
        <f t="shared" si="194"/>
        <v>-130</v>
      </c>
      <c r="AD153" s="113"/>
      <c r="AE153" s="113">
        <f t="shared" si="195"/>
        <v>0</v>
      </c>
      <c r="AF153" s="113">
        <f>IF(AG153&gt;0,AG81:AG153,0)</f>
        <v>0</v>
      </c>
      <c r="AG153" s="113">
        <f t="shared" si="175"/>
        <v>-130</v>
      </c>
      <c r="AI153">
        <f t="shared" si="176"/>
        <v>0</v>
      </c>
      <c r="AJ153">
        <f t="shared" si="177"/>
        <v>0</v>
      </c>
      <c r="AK153">
        <f t="shared" si="178"/>
        <v>0</v>
      </c>
      <c r="AL153">
        <f t="shared" si="179"/>
        <v>0</v>
      </c>
      <c r="AN153">
        <f t="shared" si="180"/>
        <v>0</v>
      </c>
      <c r="AO153">
        <f t="shared" si="181"/>
        <v>0</v>
      </c>
      <c r="AP153">
        <f t="shared" si="182"/>
        <v>0</v>
      </c>
      <c r="AQ153">
        <f t="shared" si="183"/>
        <v>0</v>
      </c>
    </row>
    <row r="154" spans="2:43" x14ac:dyDescent="0.25">
      <c r="B154" s="84" t="s">
        <v>656</v>
      </c>
      <c r="C154" t="s">
        <v>655</v>
      </c>
      <c r="D154" s="84" t="s">
        <v>376</v>
      </c>
      <c r="E154" s="84">
        <f t="shared" si="186"/>
        <v>0</v>
      </c>
      <c r="F154" s="84">
        <f t="shared" si="185"/>
        <v>1</v>
      </c>
      <c r="G154" s="84" t="s">
        <v>654</v>
      </c>
      <c r="H154" s="85">
        <v>6</v>
      </c>
      <c r="I154" s="85"/>
      <c r="J154" s="84" t="s">
        <v>657</v>
      </c>
      <c r="K154" s="84" t="s">
        <v>56</v>
      </c>
      <c r="L154" s="90">
        <v>0</v>
      </c>
      <c r="M154" s="96" t="s">
        <v>37</v>
      </c>
      <c r="N154" s="84"/>
      <c r="O154" s="107">
        <v>1747</v>
      </c>
      <c r="P154" s="156">
        <f t="shared" si="187"/>
        <v>699</v>
      </c>
      <c r="Q154" s="84">
        <f t="shared" si="188"/>
        <v>1636</v>
      </c>
      <c r="R154" s="57" t="s">
        <v>160</v>
      </c>
      <c r="S154" s="89">
        <v>2</v>
      </c>
      <c r="T154" s="89">
        <f t="shared" si="189"/>
        <v>88</v>
      </c>
      <c r="U154" s="87" t="str">
        <f t="shared" si="190"/>
        <v>PAYPAL</v>
      </c>
      <c r="V154" s="97">
        <v>2</v>
      </c>
      <c r="W154" s="90" t="s">
        <v>692</v>
      </c>
      <c r="X154" s="89">
        <f t="shared" si="191"/>
        <v>2335</v>
      </c>
      <c r="Y154" s="89"/>
      <c r="Z154" s="58">
        <f t="shared" si="192"/>
        <v>0</v>
      </c>
      <c r="AA154" s="58">
        <f t="shared" si="193"/>
        <v>130</v>
      </c>
      <c r="AB154" s="58"/>
      <c r="AC154" s="98">
        <f t="shared" si="194"/>
        <v>1705</v>
      </c>
      <c r="AD154" s="58"/>
      <c r="AE154" s="58">
        <f t="shared" si="195"/>
        <v>30</v>
      </c>
      <c r="AF154" s="58">
        <f>IF(AG154&gt;0,AG63:AG154,0)</f>
        <v>1675</v>
      </c>
      <c r="AG154" s="58">
        <f t="shared" si="175"/>
        <v>1675</v>
      </c>
      <c r="AI154">
        <f t="shared" si="176"/>
        <v>0</v>
      </c>
      <c r="AJ154">
        <f t="shared" si="177"/>
        <v>1659</v>
      </c>
      <c r="AK154">
        <f t="shared" si="178"/>
        <v>0</v>
      </c>
      <c r="AL154">
        <f t="shared" si="179"/>
        <v>0</v>
      </c>
      <c r="AN154">
        <f t="shared" si="180"/>
        <v>0</v>
      </c>
      <c r="AO154">
        <f t="shared" si="181"/>
        <v>1659</v>
      </c>
      <c r="AP154">
        <f t="shared" si="182"/>
        <v>0</v>
      </c>
      <c r="AQ154">
        <f t="shared" si="183"/>
        <v>0</v>
      </c>
    </row>
    <row r="155" spans="2:43" ht="14.45" x14ac:dyDescent="0.3">
      <c r="B155" s="148" t="s">
        <v>557</v>
      </c>
      <c r="C155" t="s">
        <v>558</v>
      </c>
      <c r="D155" s="85" t="s">
        <v>31</v>
      </c>
      <c r="E155" s="84">
        <f>IF(D155=$B$12,H155,0)</f>
        <v>0</v>
      </c>
      <c r="F155" s="84">
        <f>IF(E155&gt;0,0,1)</f>
        <v>1</v>
      </c>
      <c r="G155" s="85" t="s">
        <v>559</v>
      </c>
      <c r="H155" s="85">
        <v>18</v>
      </c>
      <c r="I155" s="85"/>
      <c r="J155" s="85" t="s">
        <v>81</v>
      </c>
      <c r="K155" s="84" t="s">
        <v>56</v>
      </c>
      <c r="L155" s="90">
        <v>0</v>
      </c>
      <c r="M155" s="96" t="s">
        <v>37</v>
      </c>
      <c r="N155" s="84"/>
      <c r="O155" s="107">
        <v>3659</v>
      </c>
      <c r="P155" s="58">
        <f>ROUND((O155*0.4),0)</f>
        <v>1464</v>
      </c>
      <c r="Q155" s="84">
        <f>IF(O155&gt;0,((O155+500)-P155)+T155,0)</f>
        <v>2857</v>
      </c>
      <c r="R155" s="57" t="s">
        <v>560</v>
      </c>
      <c r="S155" s="89">
        <v>2</v>
      </c>
      <c r="T155" s="89">
        <f>IF(U155=$AD$2,47,IF(U155=$AD$1,ROUND(((O155+500)*0.039),0),IF(U155=$AD$3,0)))</f>
        <v>162</v>
      </c>
      <c r="U155" s="87" t="str">
        <f>IF(V155=1,$AD$2,IF(V155=2,$AD$1,IF(AND(V155&lt;&gt;1,V155&lt;&gt;20)=TRUE,$AD$3)))</f>
        <v>PAYPAL</v>
      </c>
      <c r="V155" s="97">
        <v>2</v>
      </c>
      <c r="W155" s="90" t="s">
        <v>26</v>
      </c>
      <c r="X155" s="89">
        <f>Q155+P155</f>
        <v>4321</v>
      </c>
      <c r="Y155" s="89"/>
      <c r="Z155" s="58">
        <f>IF(W155=$Z$1,Q155-500,0)</f>
        <v>0</v>
      </c>
      <c r="AA155" s="58">
        <f>IF(H155&gt;0,130,0)</f>
        <v>130</v>
      </c>
      <c r="AB155" s="58"/>
      <c r="AC155" s="98">
        <f>(O155+T155)-AA155</f>
        <v>3691</v>
      </c>
      <c r="AD155" s="58"/>
      <c r="AE155" s="58">
        <f>IF(H155&gt;0,30*F155,0)</f>
        <v>30</v>
      </c>
      <c r="AF155" s="58">
        <f>IF(AG155&gt;0,AG56:AG155,0)</f>
        <v>3661</v>
      </c>
      <c r="AG155" s="58">
        <f>AC155-AE155</f>
        <v>3661</v>
      </c>
      <c r="AI155">
        <f>IF(S155=1,O155-T155,0)</f>
        <v>0</v>
      </c>
      <c r="AJ155">
        <f>IF(S155=2,O155-T155,0)</f>
        <v>3497</v>
      </c>
      <c r="AK155">
        <f>IF(S155=3,O155-T155,0)</f>
        <v>0</v>
      </c>
      <c r="AL155">
        <f>IF(S155=4,O155-T155,0)</f>
        <v>0</v>
      </c>
      <c r="AN155">
        <f>IF(S155=1,O155-T155,0)</f>
        <v>0</v>
      </c>
      <c r="AO155">
        <f>IF(S155=2,O155-T155,0)</f>
        <v>3497</v>
      </c>
      <c r="AP155">
        <f>IF(S155=3,O155-T155,0)</f>
        <v>0</v>
      </c>
      <c r="AQ155">
        <f>IF(S155=4,O155-T155,0)</f>
        <v>0</v>
      </c>
    </row>
    <row r="156" spans="2:43" ht="14.45" x14ac:dyDescent="0.3">
      <c r="B156" s="86" t="s">
        <v>553</v>
      </c>
      <c r="C156" t="s">
        <v>554</v>
      </c>
      <c r="D156" s="84" t="s">
        <v>31</v>
      </c>
      <c r="E156" s="84">
        <f>IF(D156=$B$12,H156,0)</f>
        <v>0</v>
      </c>
      <c r="F156" s="84">
        <f>IF(E156&gt;0,0,1)</f>
        <v>1</v>
      </c>
      <c r="G156" s="84" t="s">
        <v>555</v>
      </c>
      <c r="H156" s="85">
        <v>7</v>
      </c>
      <c r="I156" s="85"/>
      <c r="J156" s="84" t="s">
        <v>579</v>
      </c>
      <c r="K156" s="84" t="s">
        <v>56</v>
      </c>
      <c r="L156" s="90">
        <v>0</v>
      </c>
      <c r="M156" s="96" t="s">
        <v>37</v>
      </c>
      <c r="N156" s="84"/>
      <c r="O156" s="107">
        <v>1540</v>
      </c>
      <c r="P156" s="58">
        <f>ROUND((O156*0.4),0)</f>
        <v>616</v>
      </c>
      <c r="Q156" s="84">
        <f>IF(O156&gt;0,((O156+500)-P156)+T156,0)</f>
        <v>1504</v>
      </c>
      <c r="R156" s="57" t="s">
        <v>556</v>
      </c>
      <c r="S156" s="89">
        <v>2</v>
      </c>
      <c r="T156" s="89">
        <f>IF(U156=$AD$2,47,IF(U156=$AD$1,ROUND(((O156+500)*0.039),0),IF(U156=$AD$3,0)))</f>
        <v>80</v>
      </c>
      <c r="U156" s="87" t="str">
        <f>IF(V156=1,$AD$2,IF(V156=2,$AD$1,IF(AND(V156&lt;&gt;1,V156&lt;&gt;20)=TRUE,$AD$3)))</f>
        <v>PAYPAL</v>
      </c>
      <c r="V156" s="97">
        <v>2</v>
      </c>
      <c r="W156" s="90" t="s">
        <v>26</v>
      </c>
      <c r="X156" s="89">
        <f>Q156+P156</f>
        <v>2120</v>
      </c>
      <c r="Y156" s="89"/>
      <c r="Z156" s="58">
        <f>IF(W156=$Z$1,Q156-500,0)</f>
        <v>0</v>
      </c>
      <c r="AA156" s="58">
        <f>IF(H156&gt;0,130,0)</f>
        <v>130</v>
      </c>
      <c r="AB156" s="58"/>
      <c r="AC156" s="98">
        <f>(O156+T156)-AA156</f>
        <v>1490</v>
      </c>
      <c r="AD156" s="58"/>
      <c r="AE156" s="58">
        <f>IF(H156&gt;0,30*F156,0)</f>
        <v>30</v>
      </c>
      <c r="AF156" s="58">
        <f>IF(AG156&gt;0,AG58:AG157,0)</f>
        <v>1460</v>
      </c>
      <c r="AG156" s="58">
        <f>AC156-AE156</f>
        <v>1460</v>
      </c>
      <c r="AI156">
        <f>IF(S156=1,O156-T156,0)</f>
        <v>0</v>
      </c>
      <c r="AJ156">
        <f>IF(S156=2,O156-T156,0)</f>
        <v>1460</v>
      </c>
      <c r="AK156">
        <f>IF(S156=3,O156-T156,0)</f>
        <v>0</v>
      </c>
      <c r="AL156">
        <f>IF(S156=4,O156-T156,0)</f>
        <v>0</v>
      </c>
      <c r="AN156">
        <f>IF(S156=1,O156-T156,0)</f>
        <v>0</v>
      </c>
      <c r="AO156">
        <f>IF(S156=2,O156-T156,0)</f>
        <v>1460</v>
      </c>
      <c r="AP156">
        <f>IF(S156=3,O156-T156,0)</f>
        <v>0</v>
      </c>
      <c r="AQ156">
        <f>IF(S156=4,O156-T156,0)</f>
        <v>0</v>
      </c>
    </row>
    <row r="157" spans="2:43" ht="13.15" customHeight="1" x14ac:dyDescent="0.3">
      <c r="B157" s="103" t="s">
        <v>83</v>
      </c>
      <c r="C157" s="86" t="s">
        <v>444</v>
      </c>
      <c r="D157" s="84" t="s">
        <v>43</v>
      </c>
      <c r="E157" s="85">
        <f t="shared" si="186"/>
        <v>3</v>
      </c>
      <c r="F157" s="85">
        <f t="shared" si="185"/>
        <v>0</v>
      </c>
      <c r="G157" s="108" t="s">
        <v>610</v>
      </c>
      <c r="H157" s="85">
        <v>3</v>
      </c>
      <c r="I157" s="85"/>
      <c r="J157" s="84" t="s">
        <v>64</v>
      </c>
      <c r="K157" s="84" t="s">
        <v>56</v>
      </c>
      <c r="L157" s="146">
        <v>3</v>
      </c>
      <c r="M157" s="96" t="s">
        <v>37</v>
      </c>
      <c r="N157" s="85"/>
      <c r="O157" s="163">
        <v>0</v>
      </c>
      <c r="P157" s="113">
        <f t="shared" si="187"/>
        <v>0</v>
      </c>
      <c r="Q157" s="85">
        <f t="shared" si="188"/>
        <v>0</v>
      </c>
      <c r="R157" s="153"/>
      <c r="S157" s="154">
        <v>2</v>
      </c>
      <c r="T157" s="154">
        <f t="shared" si="189"/>
        <v>0</v>
      </c>
      <c r="U157" s="87" t="str">
        <f t="shared" si="190"/>
        <v>NONE</v>
      </c>
      <c r="V157" s="97"/>
      <c r="W157" s="146"/>
      <c r="X157" s="154">
        <f t="shared" si="191"/>
        <v>0</v>
      </c>
      <c r="Y157" s="154"/>
      <c r="Z157" s="113">
        <f t="shared" si="192"/>
        <v>0</v>
      </c>
      <c r="AA157" s="113">
        <f t="shared" si="193"/>
        <v>130</v>
      </c>
      <c r="AB157" s="113"/>
      <c r="AC157" s="155">
        <f t="shared" si="194"/>
        <v>-130</v>
      </c>
      <c r="AD157" s="113"/>
      <c r="AE157" s="113">
        <f t="shared" si="195"/>
        <v>0</v>
      </c>
      <c r="AF157" s="113">
        <f>IF(AG157&gt;0,AG82:AG157,0)</f>
        <v>0</v>
      </c>
      <c r="AG157" s="113">
        <f t="shared" si="175"/>
        <v>-130</v>
      </c>
      <c r="AI157">
        <f t="shared" si="176"/>
        <v>0</v>
      </c>
      <c r="AJ157">
        <f t="shared" si="177"/>
        <v>0</v>
      </c>
      <c r="AK157">
        <f t="shared" si="178"/>
        <v>0</v>
      </c>
      <c r="AL157">
        <f t="shared" si="179"/>
        <v>0</v>
      </c>
      <c r="AN157">
        <f t="shared" si="180"/>
        <v>0</v>
      </c>
      <c r="AO157">
        <f t="shared" si="181"/>
        <v>0</v>
      </c>
      <c r="AP157">
        <f t="shared" si="182"/>
        <v>0</v>
      </c>
      <c r="AQ157">
        <f t="shared" si="183"/>
        <v>0</v>
      </c>
    </row>
    <row r="158" spans="2:43" ht="14.45" x14ac:dyDescent="0.3">
      <c r="B158" s="147" t="s">
        <v>577</v>
      </c>
      <c r="C158" t="s">
        <v>432</v>
      </c>
      <c r="D158" s="85" t="s">
        <v>376</v>
      </c>
      <c r="E158" s="31">
        <f>IF(D158=$B$12,H158,0)</f>
        <v>0</v>
      </c>
      <c r="F158" s="31">
        <f>IF(E158&gt;0,0,1)</f>
        <v>1</v>
      </c>
      <c r="G158" s="85" t="s">
        <v>576</v>
      </c>
      <c r="H158" s="85">
        <v>9</v>
      </c>
      <c r="I158" s="85"/>
      <c r="J158" s="85" t="s">
        <v>574</v>
      </c>
      <c r="K158" s="84" t="s">
        <v>56</v>
      </c>
      <c r="L158" s="90">
        <v>0</v>
      </c>
      <c r="M158" s="96" t="s">
        <v>37</v>
      </c>
      <c r="N158" s="84"/>
      <c r="O158" s="107">
        <v>1653</v>
      </c>
      <c r="P158" s="58">
        <f>ROUND((O158*0.4),0)</f>
        <v>661</v>
      </c>
      <c r="Q158" s="84">
        <f>IF(O158&gt;0,((O158+500)-P158)+T158,0)</f>
        <v>1576</v>
      </c>
      <c r="R158" s="57" t="s">
        <v>575</v>
      </c>
      <c r="S158" s="89">
        <v>2</v>
      </c>
      <c r="T158" s="89">
        <f>IF(U158=$AD$2,47,IF(U158=$AD$1,ROUND(((O158+500)*0.039),0),IF(U158=$AD$3,0)))</f>
        <v>84</v>
      </c>
      <c r="U158" s="87" t="str">
        <f>IF(V158=1,$AD$2,IF(V158=2,$AD$1,IF(AND(V158&lt;&gt;1,V158&lt;&gt;20)=TRUE,$AD$3)))</f>
        <v>PAYPAL</v>
      </c>
      <c r="V158" s="97">
        <v>2</v>
      </c>
      <c r="W158" s="90" t="s">
        <v>709</v>
      </c>
      <c r="X158" s="89">
        <f>Q158+P158</f>
        <v>2237</v>
      </c>
      <c r="Y158" s="89"/>
      <c r="Z158" s="58">
        <f>IF(W158=$Z$1,Q158-500,0)</f>
        <v>0</v>
      </c>
      <c r="AA158" s="58">
        <f>IF(H158&gt;0,130,0)</f>
        <v>130</v>
      </c>
      <c r="AB158" s="58"/>
      <c r="AC158" s="98">
        <f>(O158+T158)-AA158</f>
        <v>1607</v>
      </c>
      <c r="AD158" s="58"/>
      <c r="AE158" s="58">
        <f>IF(H158&gt;0,30*F158,0)</f>
        <v>30</v>
      </c>
      <c r="AF158" s="58">
        <f>IF(AG158&gt;0,AG57:AG158,0)</f>
        <v>1577</v>
      </c>
      <c r="AG158" s="58">
        <f>AC158-AE158</f>
        <v>1577</v>
      </c>
      <c r="AI158">
        <f>IF(S158=1,O158-T158,0)</f>
        <v>0</v>
      </c>
      <c r="AJ158">
        <f>IF(S158=2,O158-T158,0)</f>
        <v>1569</v>
      </c>
      <c r="AK158">
        <f>IF(S158=3,O158-T158,0)</f>
        <v>0</v>
      </c>
      <c r="AL158">
        <f>IF(S158=4,O158-T158,0)</f>
        <v>0</v>
      </c>
      <c r="AN158">
        <f>IF(S158=1,O158-T158,0)</f>
        <v>0</v>
      </c>
      <c r="AO158">
        <f>IF(S158=2,O158-T158,0)</f>
        <v>1569</v>
      </c>
      <c r="AP158">
        <f>IF(S158=3,O158-T158,0)</f>
        <v>0</v>
      </c>
      <c r="AQ158">
        <f>IF(S158=4,O158-T158,0)</f>
        <v>0</v>
      </c>
    </row>
    <row r="159" spans="2:43" ht="14.45" x14ac:dyDescent="0.3">
      <c r="B159" s="86" t="s">
        <v>569</v>
      </c>
      <c r="C159" t="s">
        <v>570</v>
      </c>
      <c r="D159" s="84" t="s">
        <v>376</v>
      </c>
      <c r="E159" s="84">
        <f>IF(D159=$B$12,H159,0)</f>
        <v>0</v>
      </c>
      <c r="F159" s="84">
        <f>IF(E159&gt;0,0,1)</f>
        <v>1</v>
      </c>
      <c r="G159" s="84" t="s">
        <v>571</v>
      </c>
      <c r="H159" s="85">
        <v>7</v>
      </c>
      <c r="I159" s="85"/>
      <c r="J159" s="84" t="s">
        <v>572</v>
      </c>
      <c r="K159" s="84" t="s">
        <v>56</v>
      </c>
      <c r="L159" s="90">
        <v>0</v>
      </c>
      <c r="M159" s="96" t="s">
        <v>37</v>
      </c>
      <c r="N159" s="84"/>
      <c r="O159" s="107">
        <v>1364</v>
      </c>
      <c r="P159" s="58">
        <f>ROUND((O159*0.4),0)</f>
        <v>546</v>
      </c>
      <c r="Q159" s="84">
        <f>IF(O159&gt;0,((O159+500)-P159)+T159,0)</f>
        <v>1391</v>
      </c>
      <c r="R159" s="57" t="s">
        <v>573</v>
      </c>
      <c r="S159" s="89"/>
      <c r="T159" s="89">
        <f>IF(U159=$AD$2,47,IF(U159=$AD$1,ROUND(((O159+500)*0.039),0),IF(U159=$AD$3,0)))</f>
        <v>73</v>
      </c>
      <c r="U159" s="87" t="str">
        <f>IF(V159=1,$AD$2,IF(V159=2,$AD$1,IF(AND(V159&lt;&gt;1,V159&lt;&gt;20)=TRUE,$AD$3)))</f>
        <v>PAYPAL</v>
      </c>
      <c r="V159" s="97">
        <v>2</v>
      </c>
      <c r="W159" s="90" t="s">
        <v>568</v>
      </c>
      <c r="X159" s="89">
        <f>Q159+P159</f>
        <v>1937</v>
      </c>
      <c r="Y159" s="89"/>
      <c r="Z159" s="58">
        <f>IF(W159=$Z$1,Q159-500,0)</f>
        <v>0</v>
      </c>
      <c r="AA159" s="58">
        <f>IF(H159&gt;0,130,0)</f>
        <v>130</v>
      </c>
      <c r="AB159" s="58"/>
      <c r="AC159" s="98">
        <f>(O159+T159)-AA159</f>
        <v>1307</v>
      </c>
      <c r="AD159" s="58"/>
      <c r="AE159" s="58">
        <f>IF(H159&gt;0,30*F159,0)</f>
        <v>30</v>
      </c>
      <c r="AF159" s="58">
        <f>IF(AG159&gt;0,AG58:AG159,0)</f>
        <v>1277</v>
      </c>
      <c r="AG159" s="58">
        <f>AC159-AE159</f>
        <v>1277</v>
      </c>
      <c r="AI159">
        <f>IF(S159=1,O159-T159,0)</f>
        <v>0</v>
      </c>
      <c r="AJ159">
        <f>IF(S159=2,O159-T159,0)</f>
        <v>0</v>
      </c>
      <c r="AK159">
        <f>IF(S159=3,O159-T159,0)</f>
        <v>0</v>
      </c>
      <c r="AL159">
        <f>IF(S159=4,O159-T159,0)</f>
        <v>0</v>
      </c>
      <c r="AN159">
        <f>IF(S159=1,O159-T159,0)</f>
        <v>0</v>
      </c>
      <c r="AO159">
        <f>IF(S159=2,O159-T159,0)</f>
        <v>0</v>
      </c>
      <c r="AP159">
        <f>IF(S159=3,O159-T159,0)</f>
        <v>0</v>
      </c>
      <c r="AQ159">
        <f>IF(S159=4,O159-T159,0)</f>
        <v>0</v>
      </c>
    </row>
    <row r="160" spans="2:43" ht="14.45" x14ac:dyDescent="0.3">
      <c r="B160" s="86" t="s">
        <v>580</v>
      </c>
      <c r="C160" t="s">
        <v>581</v>
      </c>
      <c r="D160" s="85" t="s">
        <v>376</v>
      </c>
      <c r="E160" s="84">
        <f>IF(D160=$B$12,H160,0)</f>
        <v>0</v>
      </c>
      <c r="F160" s="84">
        <f>IF(E160&gt;0,0,1)</f>
        <v>1</v>
      </c>
      <c r="G160" s="85" t="s">
        <v>582</v>
      </c>
      <c r="H160" s="85">
        <v>6</v>
      </c>
      <c r="I160" s="85"/>
      <c r="J160" s="85" t="s">
        <v>104</v>
      </c>
      <c r="K160" s="84" t="s">
        <v>56</v>
      </c>
      <c r="L160" s="90">
        <v>0</v>
      </c>
      <c r="M160" s="96" t="s">
        <v>37</v>
      </c>
      <c r="N160" s="84"/>
      <c r="O160" s="107">
        <v>1190</v>
      </c>
      <c r="P160" s="58">
        <f>ROUND((O160*0.4),0)</f>
        <v>476</v>
      </c>
      <c r="Q160" s="84">
        <f>IF(O160&gt;0,((O160+500)-P160)+T160,0)</f>
        <v>1280</v>
      </c>
      <c r="R160" s="57" t="s">
        <v>573</v>
      </c>
      <c r="S160" s="89">
        <v>2</v>
      </c>
      <c r="T160" s="89">
        <f>IF(U160=$AD$2,47,IF(U160=$AD$1,ROUND(((O160+500)*0.039),0),IF(U160=$AD$3,0)))</f>
        <v>66</v>
      </c>
      <c r="U160" s="87" t="str">
        <f>IF(V160=1,$AD$2,IF(V160=2,$AD$1,IF(AND(V160&lt;&gt;1,V160&lt;&gt;20)=TRUE,$AD$3)))</f>
        <v>PAYPAL</v>
      </c>
      <c r="V160" s="97">
        <v>2</v>
      </c>
      <c r="W160" s="90" t="s">
        <v>723</v>
      </c>
      <c r="X160" s="89">
        <f>Q160+P160</f>
        <v>1756</v>
      </c>
      <c r="Y160" s="89"/>
      <c r="Z160" s="58">
        <f>IF(W160=$Z$1,Q160-500,0)</f>
        <v>0</v>
      </c>
      <c r="AA160" s="58">
        <f>IF(H160&gt;0,130,0)</f>
        <v>130</v>
      </c>
      <c r="AB160" s="58"/>
      <c r="AC160" s="98">
        <f>(O160+T160)-AA160</f>
        <v>1126</v>
      </c>
      <c r="AD160" s="58"/>
      <c r="AE160" s="58">
        <f>IF(H160&gt;0,30*F160,0)</f>
        <v>30</v>
      </c>
      <c r="AF160" s="58">
        <f>IF(AG160&gt;0,AG58:AG160,0)</f>
        <v>1096</v>
      </c>
      <c r="AG160" s="58">
        <f>AC160-AE160</f>
        <v>1096</v>
      </c>
      <c r="AI160">
        <f>IF(S160=1,O160-T160,0)</f>
        <v>0</v>
      </c>
      <c r="AJ160">
        <f>IF(S160=2,O160-T160,0)</f>
        <v>1124</v>
      </c>
      <c r="AK160">
        <f>IF(S160=3,O160-T160,0)</f>
        <v>0</v>
      </c>
      <c r="AL160">
        <f>IF(S160=4,O160-T160,0)</f>
        <v>0</v>
      </c>
      <c r="AN160">
        <f>IF(S160=1,O160-T160,0)</f>
        <v>0</v>
      </c>
      <c r="AO160">
        <f>IF(S160=2,O160-T160,0)</f>
        <v>1124</v>
      </c>
      <c r="AP160">
        <f>IF(S160=3,O160-T160,0)</f>
        <v>0</v>
      </c>
      <c r="AQ160">
        <f>IF(S160=4,O160-T160,0)</f>
        <v>0</v>
      </c>
    </row>
    <row r="161" spans="2:43" ht="18" x14ac:dyDescent="0.35">
      <c r="B161" s="103" t="s">
        <v>83</v>
      </c>
      <c r="C161" s="86" t="s">
        <v>444</v>
      </c>
      <c r="D161" s="84" t="s">
        <v>43</v>
      </c>
      <c r="E161" s="85">
        <f t="shared" ref="E161" si="216">IF(D161=$B$12,H161,0)</f>
        <v>3</v>
      </c>
      <c r="F161" s="85">
        <f t="shared" ref="F161" si="217">IF(E161&gt;0,0,1)</f>
        <v>0</v>
      </c>
      <c r="G161" s="108" t="s">
        <v>611</v>
      </c>
      <c r="H161" s="85">
        <v>3</v>
      </c>
      <c r="I161" s="85"/>
      <c r="J161" s="84" t="s">
        <v>64</v>
      </c>
      <c r="K161" s="84" t="s">
        <v>56</v>
      </c>
      <c r="L161" s="146">
        <v>3</v>
      </c>
      <c r="M161" s="96" t="s">
        <v>37</v>
      </c>
      <c r="N161" s="85"/>
      <c r="O161" s="163">
        <v>0</v>
      </c>
      <c r="P161" s="113">
        <f t="shared" ref="P161" si="218">ROUND((O161*0.4),0)</f>
        <v>0</v>
      </c>
      <c r="Q161" s="85">
        <f t="shared" ref="Q161" si="219">IF(O161&gt;0,((O161+500)-P161)+T161,0)</f>
        <v>0</v>
      </c>
      <c r="R161" s="153"/>
      <c r="S161" s="154">
        <v>2</v>
      </c>
      <c r="T161" s="154">
        <f t="shared" ref="T161" si="220">IF(U161=$AD$2,47,IF(U161=$AD$1,ROUND(((O161+500)*0.039),0),IF(U161=$AD$3,0)))</f>
        <v>0</v>
      </c>
      <c r="U161" s="87" t="str">
        <f t="shared" ref="U161" si="221">IF(V161=1,$AD$2,IF(V161=2,$AD$1,IF(AND(V161&lt;&gt;1,V161&lt;&gt;20)=TRUE,$AD$3)))</f>
        <v>NONE</v>
      </c>
      <c r="V161" s="97"/>
      <c r="W161" s="146"/>
      <c r="X161" s="154">
        <f t="shared" ref="X161" si="222">Q161+P161</f>
        <v>0</v>
      </c>
      <c r="Y161" s="154"/>
      <c r="Z161" s="113">
        <f t="shared" ref="Z161" si="223">IF(W161=$Z$1,Q161-500,0)</f>
        <v>0</v>
      </c>
      <c r="AA161" s="113">
        <f t="shared" ref="AA161" si="224">IF(H161&gt;0,130,0)</f>
        <v>130</v>
      </c>
      <c r="AB161" s="113"/>
      <c r="AC161" s="155">
        <f t="shared" ref="AC161" si="225">(O161+T161)-AA161</f>
        <v>-130</v>
      </c>
      <c r="AD161" s="113"/>
      <c r="AE161" s="113">
        <f t="shared" ref="AE161" si="226">IF(H161&gt;0,30*F161,0)</f>
        <v>0</v>
      </c>
      <c r="AF161" s="113">
        <f>IF(AG161&gt;0,AG83:AG161,0)</f>
        <v>0</v>
      </c>
      <c r="AG161" s="113">
        <f t="shared" ref="AG161" si="227">AC161-AE161</f>
        <v>-130</v>
      </c>
      <c r="AI161">
        <f t="shared" ref="AI161" si="228">IF(S161=1,O161-T161,0)</f>
        <v>0</v>
      </c>
      <c r="AJ161">
        <f t="shared" ref="AJ161" si="229">IF(S161=2,O161-T161,0)</f>
        <v>0</v>
      </c>
      <c r="AK161">
        <f t="shared" ref="AK161" si="230">IF(S161=3,O161-T161,0)</f>
        <v>0</v>
      </c>
      <c r="AL161">
        <f t="shared" ref="AL161" si="231">IF(S161=4,O161-T161,0)</f>
        <v>0</v>
      </c>
      <c r="AN161">
        <f t="shared" ref="AN161" si="232">IF(S161=1,O161-T161,0)</f>
        <v>0</v>
      </c>
      <c r="AO161">
        <f t="shared" ref="AO161" si="233">IF(S161=2,O161-T161,0)</f>
        <v>0</v>
      </c>
      <c r="AP161">
        <f t="shared" ref="AP161" si="234">IF(S161=3,O161-T161,0)</f>
        <v>0</v>
      </c>
      <c r="AQ161">
        <f t="shared" ref="AQ161" si="235">IF(S161=4,O161-T161,0)</f>
        <v>0</v>
      </c>
    </row>
    <row r="162" spans="2:43" x14ac:dyDescent="0.25">
      <c r="B162" s="86" t="s">
        <v>616</v>
      </c>
      <c r="C162" t="s">
        <v>730</v>
      </c>
      <c r="D162" s="84" t="s">
        <v>31</v>
      </c>
      <c r="E162" s="84">
        <f>IF(D162=$B$12,H162,0)</f>
        <v>0</v>
      </c>
      <c r="F162" s="84">
        <f>IF(E162&gt;0,0,1)</f>
        <v>1</v>
      </c>
      <c r="G162" s="84" t="s">
        <v>618</v>
      </c>
      <c r="H162" s="85">
        <v>10</v>
      </c>
      <c r="I162" s="85"/>
      <c r="J162" s="84" t="s">
        <v>617</v>
      </c>
      <c r="K162" s="84" t="s">
        <v>56</v>
      </c>
      <c r="L162" s="90">
        <v>0</v>
      </c>
      <c r="M162" s="96" t="s">
        <v>37</v>
      </c>
      <c r="N162" s="84"/>
      <c r="O162" s="107">
        <v>2335</v>
      </c>
      <c r="P162" s="58">
        <f>ROUND((O162*0.4),0)</f>
        <v>934</v>
      </c>
      <c r="Q162" s="84">
        <f>IF(O162&gt;0,((O162+500)-P162)+T162,0)</f>
        <v>2012</v>
      </c>
      <c r="R162" s="57" t="s">
        <v>619</v>
      </c>
      <c r="S162" s="89">
        <v>2</v>
      </c>
      <c r="T162" s="89">
        <f>IF(U162=$AD$2,47,IF(U162=$AD$1,ROUND(((O162+500)*0.039),0),IF(U162=$AD$3,0)))</f>
        <v>111</v>
      </c>
      <c r="U162" s="87" t="str">
        <f>IF(V162=1,$AD$2,IF(V162=2,$AD$1,IF(AND(V162&lt;&gt;1,V162&lt;&gt;20)=TRUE,$AD$3)))</f>
        <v>PAYPAL</v>
      </c>
      <c r="V162" s="97">
        <v>2</v>
      </c>
      <c r="W162" s="90" t="s">
        <v>725</v>
      </c>
      <c r="X162" s="89">
        <f>Q162+P162</f>
        <v>2946</v>
      </c>
      <c r="Y162" s="89"/>
      <c r="Z162" s="58">
        <f>IF(W162=$Z$1,Q162-500,0)</f>
        <v>0</v>
      </c>
      <c r="AA162" s="58">
        <f>IF(H162&gt;0,130,0)</f>
        <v>130</v>
      </c>
      <c r="AB162" s="58"/>
      <c r="AC162" s="98">
        <f>(O162+T162)-AA162</f>
        <v>2316</v>
      </c>
      <c r="AD162" s="58"/>
      <c r="AE162" s="58">
        <f>IF(H162&gt;0,30*F162,0)</f>
        <v>30</v>
      </c>
      <c r="AF162" s="58">
        <f>IF(AG162&gt;0,AG60:AG162,0)</f>
        <v>2286</v>
      </c>
      <c r="AG162" s="58">
        <f>AC162-AE162</f>
        <v>2286</v>
      </c>
      <c r="AI162">
        <f>IF(S162=1,O162-T162,0)</f>
        <v>0</v>
      </c>
      <c r="AJ162">
        <f>IF(S162=2,O162-T162,0)</f>
        <v>2224</v>
      </c>
      <c r="AK162">
        <f>IF(S162=3,O162-T162,0)</f>
        <v>0</v>
      </c>
      <c r="AL162">
        <f>IF(S162=4,O162-T162,0)</f>
        <v>0</v>
      </c>
      <c r="AN162">
        <f>IF(S162=1,O162-T162,0)</f>
        <v>0</v>
      </c>
      <c r="AO162">
        <f>IF(S162=2,O162-T162,0)</f>
        <v>2224</v>
      </c>
      <c r="AP162">
        <f>IF(S162=3,O162-T162,0)</f>
        <v>0</v>
      </c>
      <c r="AQ162">
        <f>IF(S162=4,O162-T162,0)</f>
        <v>0</v>
      </c>
    </row>
    <row r="163" spans="2:43" ht="14.45" x14ac:dyDescent="0.3">
      <c r="B163" s="183" t="s">
        <v>622</v>
      </c>
      <c r="C163" t="s">
        <v>623</v>
      </c>
      <c r="D163" s="84" t="s">
        <v>630</v>
      </c>
      <c r="E163" s="85">
        <f>IF(D163=$B$12,H163,0)</f>
        <v>0</v>
      </c>
      <c r="F163" s="85">
        <f>IF(E163&gt;0,0,1)</f>
        <v>1</v>
      </c>
      <c r="G163" s="85" t="s">
        <v>621</v>
      </c>
      <c r="H163" s="85">
        <v>10</v>
      </c>
      <c r="I163" s="85"/>
      <c r="J163" s="84" t="s">
        <v>624</v>
      </c>
      <c r="K163" s="84" t="s">
        <v>56</v>
      </c>
      <c r="L163" s="146">
        <v>3</v>
      </c>
      <c r="M163" s="96" t="s">
        <v>37</v>
      </c>
      <c r="N163" s="85"/>
      <c r="O163" s="163">
        <v>1692</v>
      </c>
      <c r="P163" s="113">
        <f>ROUND((O163*0.4),0)</f>
        <v>677</v>
      </c>
      <c r="Q163" s="85">
        <f>IF(O163&gt;0,((O163+500)-P163)+T163,0)</f>
        <v>1600</v>
      </c>
      <c r="R163" s="57" t="s">
        <v>625</v>
      </c>
      <c r="S163" s="154">
        <v>3</v>
      </c>
      <c r="T163" s="154">
        <f>IF(U163=$AD$2,47,IF(U163=$AD$1,ROUND(((O163+500)*0.039),0),IF(U163=$AD$3,0)))</f>
        <v>85</v>
      </c>
      <c r="U163" s="87" t="str">
        <f>IF(V163=1,$AD$2,IF(V163=2,$AD$1,IF(AND(V163&lt;&gt;1,V163&lt;&gt;20)=TRUE,$AD$3)))</f>
        <v>PAYPAL</v>
      </c>
      <c r="V163" s="97">
        <v>2</v>
      </c>
      <c r="W163" s="197" t="s">
        <v>726</v>
      </c>
      <c r="X163" s="154">
        <f>Q163+P163</f>
        <v>2277</v>
      </c>
      <c r="Y163" s="154"/>
      <c r="Z163" s="113">
        <f>IF(W163=$Z$1,Q163-500,0)</f>
        <v>0</v>
      </c>
      <c r="AA163" s="113">
        <f>IF(H163&gt;0,130,0)</f>
        <v>130</v>
      </c>
      <c r="AB163" s="113"/>
      <c r="AC163" s="155">
        <f>(O163+T163)-AA163</f>
        <v>1647</v>
      </c>
      <c r="AD163" s="113"/>
      <c r="AE163" s="113">
        <f>IF(H163&gt;0,30*F163,0)</f>
        <v>30</v>
      </c>
      <c r="AF163" s="113">
        <f>IF(AG163&gt;0,AG83:AG181,0)</f>
        <v>1617</v>
      </c>
      <c r="AG163" s="113">
        <f>AC163-AE163</f>
        <v>1617</v>
      </c>
      <c r="AI163">
        <f>IF(S163=1,O163-T163,0)</f>
        <v>0</v>
      </c>
      <c r="AJ163">
        <f>IF(S163=2,O163-T163,0)</f>
        <v>0</v>
      </c>
      <c r="AK163">
        <f>IF(S163=3,O163-T163,0)</f>
        <v>1607</v>
      </c>
      <c r="AL163">
        <f>IF(S163=4,O163-T163,0)</f>
        <v>0</v>
      </c>
      <c r="AN163">
        <f>IF(S163=1,O163-T163,0)</f>
        <v>0</v>
      </c>
      <c r="AO163">
        <f>IF(S163=2,O163-T163,0)</f>
        <v>0</v>
      </c>
      <c r="AP163">
        <f>IF(S163=3,O163-T163,0)</f>
        <v>1607</v>
      </c>
      <c r="AQ163">
        <f>IF(S163=4,O163-T163,0)</f>
        <v>0</v>
      </c>
    </row>
    <row r="164" spans="2:43" x14ac:dyDescent="0.25">
      <c r="B164" s="103" t="s">
        <v>83</v>
      </c>
      <c r="C164" s="86" t="s">
        <v>444</v>
      </c>
      <c r="D164" s="85" t="s">
        <v>43</v>
      </c>
      <c r="E164" s="84">
        <f t="shared" ref="E164" si="236">IF(D164=$B$12,H164,0)</f>
        <v>21</v>
      </c>
      <c r="F164" s="84">
        <f t="shared" ref="F164" si="237">IF(E164&gt;0,0,1)</f>
        <v>0</v>
      </c>
      <c r="G164" s="108" t="s">
        <v>620</v>
      </c>
      <c r="H164" s="85">
        <v>21</v>
      </c>
      <c r="I164" s="85"/>
      <c r="J164" s="84" t="s">
        <v>64</v>
      </c>
      <c r="K164" s="84" t="s">
        <v>56</v>
      </c>
      <c r="L164" s="90">
        <v>3</v>
      </c>
      <c r="M164" s="96" t="s">
        <v>37</v>
      </c>
      <c r="N164" s="84"/>
      <c r="O164" s="107">
        <v>0</v>
      </c>
      <c r="P164" s="58">
        <f t="shared" ref="P164" si="238">ROUND((O164*0.4),0)</f>
        <v>0</v>
      </c>
      <c r="Q164" s="84">
        <f t="shared" ref="Q164" si="239">IF(O164&gt;0,((O164+500)-P164)+T164,0)</f>
        <v>0</v>
      </c>
      <c r="R164" s="57"/>
      <c r="S164" s="89"/>
      <c r="T164" s="89">
        <f t="shared" ref="T164" si="240">IF(U164=$AD$2,47,IF(U164=$AD$1,ROUND(((O164+500)*0.039),0),IF(U164=$AD$3,0)))</f>
        <v>0</v>
      </c>
      <c r="U164" s="87" t="str">
        <f t="shared" ref="U164" si="241">IF(V164=1,$AD$2,IF(V164=2,$AD$1,IF(AND(V164&lt;&gt;1,V164&lt;&gt;20)=TRUE,$AD$3)))</f>
        <v>NONE</v>
      </c>
      <c r="V164" s="97"/>
      <c r="W164" s="90"/>
      <c r="X164" s="89">
        <f t="shared" ref="X164" si="242">Q164+P164</f>
        <v>0</v>
      </c>
      <c r="Y164" s="89"/>
      <c r="Z164" s="58">
        <f t="shared" ref="Z164" si="243">IF(W164=$Z$1,Q164-500,0)</f>
        <v>0</v>
      </c>
      <c r="AA164" s="58">
        <f t="shared" ref="AA164" si="244">IF(H164&gt;0,130,0)</f>
        <v>130</v>
      </c>
      <c r="AB164" s="58"/>
      <c r="AC164" s="98">
        <f t="shared" ref="AC164" si="245">(O164+T164)-AA164</f>
        <v>-130</v>
      </c>
      <c r="AD164" s="58"/>
      <c r="AE164" s="58">
        <f t="shared" ref="AE164" si="246">IF(H164&gt;0,30*F164,0)</f>
        <v>0</v>
      </c>
      <c r="AF164" s="58">
        <f>IF(AG164&gt;0,AG84:AG164,0)</f>
        <v>0</v>
      </c>
      <c r="AG164" s="58">
        <f t="shared" ref="AG164" si="247">AC164-AE164</f>
        <v>-130</v>
      </c>
      <c r="AI164">
        <f t="shared" ref="AI164" si="248">IF(S164=1,O164-T164,0)</f>
        <v>0</v>
      </c>
      <c r="AJ164">
        <f t="shared" ref="AJ164" si="249">IF(S164=2,O164-T164,0)</f>
        <v>0</v>
      </c>
      <c r="AK164">
        <f t="shared" ref="AK164" si="250">IF(S164=3,O164-T164,0)</f>
        <v>0</v>
      </c>
      <c r="AL164">
        <f t="shared" ref="AL164" si="251">IF(S164=4,O164-T164,0)</f>
        <v>0</v>
      </c>
      <c r="AN164">
        <f t="shared" ref="AN164" si="252">IF(S164=1,O164-T164,0)</f>
        <v>0</v>
      </c>
      <c r="AO164">
        <f t="shared" ref="AO164" si="253">IF(S164=2,O164-T164,0)</f>
        <v>0</v>
      </c>
      <c r="AP164">
        <f t="shared" ref="AP164" si="254">IF(S164=3,O164-T164,0)</f>
        <v>0</v>
      </c>
      <c r="AQ164">
        <f t="shared" ref="AQ164" si="255">IF(S164=4,O164-T164,0)</f>
        <v>0</v>
      </c>
    </row>
    <row r="165" spans="2:43" x14ac:dyDescent="0.25">
      <c r="B165" s="84" t="s">
        <v>447</v>
      </c>
      <c r="C165" t="s">
        <v>448</v>
      </c>
      <c r="D165" s="84" t="s">
        <v>449</v>
      </c>
      <c r="E165" s="84">
        <f t="shared" ref="E165:E182" si="256">IF(D165=$B$12,H165,0)</f>
        <v>0</v>
      </c>
      <c r="F165" s="84">
        <f t="shared" ref="F165:F182" si="257">IF(E165&gt;0,0,1)</f>
        <v>1</v>
      </c>
      <c r="G165" s="201" t="s">
        <v>450</v>
      </c>
      <c r="H165" s="85">
        <v>7</v>
      </c>
      <c r="I165" s="85"/>
      <c r="J165" s="84" t="s">
        <v>369</v>
      </c>
      <c r="K165" s="84" t="s">
        <v>56</v>
      </c>
      <c r="L165" s="90">
        <v>0</v>
      </c>
      <c r="M165" s="96" t="s">
        <v>37</v>
      </c>
      <c r="N165" s="84"/>
      <c r="O165" s="107">
        <v>1495</v>
      </c>
      <c r="P165" s="156">
        <f t="shared" ref="P165:P182" si="258">ROUND((O165*0.4),0)</f>
        <v>598</v>
      </c>
      <c r="Q165" s="84">
        <f t="shared" ref="Q165:Q182" si="259">IF(O165&gt;0,((O165+500)-P165)+T165,0)</f>
        <v>1475</v>
      </c>
      <c r="R165" s="57" t="s">
        <v>451</v>
      </c>
      <c r="S165" s="89">
        <v>3</v>
      </c>
      <c r="T165" s="89">
        <f t="shared" ref="T165:T182" si="260">IF(U165=$AD$2,47,IF(U165=$AD$1,ROUND(((O165+500)*0.039),0),IF(U165=$AD$3,0)))</f>
        <v>78</v>
      </c>
      <c r="U165" s="87" t="str">
        <f t="shared" ref="U165:U182" si="261">IF(V165=1,$AD$2,IF(V165=2,$AD$1,IF(AND(V165&lt;&gt;1,V165&lt;&gt;20)=TRUE,$AD$3)))</f>
        <v>PAYPAL</v>
      </c>
      <c r="V165" s="97">
        <v>2</v>
      </c>
      <c r="W165" s="90" t="s">
        <v>166</v>
      </c>
      <c r="X165" s="89">
        <f t="shared" ref="X165:X182" si="262">Q165+P165</f>
        <v>2073</v>
      </c>
      <c r="Y165" s="89"/>
      <c r="Z165" s="58">
        <f t="shared" ref="Z165:Z182" si="263">IF(W165=$Z$1,Q165-500,0)</f>
        <v>0</v>
      </c>
      <c r="AA165" s="58">
        <f t="shared" ref="AA165:AA182" si="264">IF(H165&gt;0,130,0)</f>
        <v>130</v>
      </c>
      <c r="AB165" s="58"/>
      <c r="AC165" s="98">
        <f t="shared" ref="AC165:AC182" si="265">(O165+T165)-AA165</f>
        <v>1443</v>
      </c>
      <c r="AD165" s="58"/>
      <c r="AE165" s="58">
        <f t="shared" ref="AE165:AE182" si="266">IF(H165&gt;0,30*F165,0)</f>
        <v>30</v>
      </c>
      <c r="AF165" s="58">
        <f>IF(AG165&gt;0,AG87:AG165,0)</f>
        <v>1413</v>
      </c>
      <c r="AG165" s="58">
        <f t="shared" ref="AG165:AG182" si="267">AC165-AE165</f>
        <v>1413</v>
      </c>
      <c r="AI165">
        <f t="shared" ref="AI165:AI182" si="268">IF(S165=1,O165-T165,0)</f>
        <v>0</v>
      </c>
      <c r="AJ165">
        <f t="shared" ref="AJ165:AJ182" si="269">IF(S165=2,O165-T165,0)</f>
        <v>0</v>
      </c>
      <c r="AK165">
        <f t="shared" ref="AK165:AK182" si="270">IF(S165=3,O165-T165,0)</f>
        <v>1417</v>
      </c>
      <c r="AL165">
        <f t="shared" ref="AL165:AL182" si="271">IF(S165=4,O165-T165,0)</f>
        <v>0</v>
      </c>
      <c r="AN165">
        <f t="shared" ref="AN165:AN182" si="272">IF(S165=1,O165-T165,0)</f>
        <v>0</v>
      </c>
      <c r="AO165">
        <f t="shared" ref="AO165:AO182" si="273">IF(S165=2,O165-T165,0)</f>
        <v>0</v>
      </c>
      <c r="AP165">
        <f t="shared" ref="AP165:AP182" si="274">IF(S165=3,O165-T165,0)</f>
        <v>1417</v>
      </c>
      <c r="AQ165">
        <f t="shared" ref="AQ165:AQ182" si="275">IF(S165=4,O165-T165,0)</f>
        <v>0</v>
      </c>
    </row>
    <row r="166" spans="2:43" s="84" customFormat="1" x14ac:dyDescent="0.25">
      <c r="B166" s="148" t="s">
        <v>596</v>
      </c>
      <c r="C166" t="s">
        <v>597</v>
      </c>
      <c r="D166" s="84" t="s">
        <v>31</v>
      </c>
      <c r="E166" s="84">
        <f t="shared" si="256"/>
        <v>0</v>
      </c>
      <c r="F166" s="84">
        <f t="shared" si="257"/>
        <v>1</v>
      </c>
      <c r="G166" s="84" t="s">
        <v>598</v>
      </c>
      <c r="H166" s="85">
        <v>10</v>
      </c>
      <c r="I166" s="85"/>
      <c r="J166" s="84" t="s">
        <v>170</v>
      </c>
      <c r="K166" s="84" t="s">
        <v>56</v>
      </c>
      <c r="L166" s="109">
        <v>0</v>
      </c>
      <c r="M166" s="96" t="s">
        <v>37</v>
      </c>
      <c r="O166" s="107">
        <v>2335</v>
      </c>
      <c r="P166" s="58">
        <f t="shared" si="258"/>
        <v>934</v>
      </c>
      <c r="Q166" s="84">
        <f>IF(O166&gt;0,((O166+500)-P166)+T166,0)</f>
        <v>2012</v>
      </c>
      <c r="R166" s="57" t="s">
        <v>599</v>
      </c>
      <c r="S166" s="89">
        <v>3</v>
      </c>
      <c r="T166" s="89">
        <f t="shared" si="260"/>
        <v>111</v>
      </c>
      <c r="U166" s="87" t="str">
        <f t="shared" si="261"/>
        <v>PAYPAL</v>
      </c>
      <c r="V166" s="97">
        <v>2</v>
      </c>
      <c r="W166" s="90" t="s">
        <v>166</v>
      </c>
      <c r="X166" s="89">
        <f t="shared" si="262"/>
        <v>2946</v>
      </c>
      <c r="Y166" s="89"/>
      <c r="Z166" s="58">
        <f t="shared" si="263"/>
        <v>0</v>
      </c>
      <c r="AA166" s="58">
        <f t="shared" si="264"/>
        <v>130</v>
      </c>
      <c r="AB166" s="58"/>
      <c r="AC166" s="98">
        <f t="shared" si="265"/>
        <v>2316</v>
      </c>
      <c r="AD166" s="58"/>
      <c r="AE166" s="58">
        <f t="shared" si="266"/>
        <v>30</v>
      </c>
      <c r="AF166" s="58">
        <f>IF(AG166&gt;0,AG87:AG166,0)</f>
        <v>2286</v>
      </c>
      <c r="AG166" s="58">
        <f t="shared" si="267"/>
        <v>2286</v>
      </c>
      <c r="AI166" s="84">
        <f t="shared" si="268"/>
        <v>0</v>
      </c>
      <c r="AJ166" s="84">
        <f t="shared" si="269"/>
        <v>0</v>
      </c>
      <c r="AK166" s="84">
        <f t="shared" si="270"/>
        <v>2224</v>
      </c>
      <c r="AL166" s="84">
        <f t="shared" si="271"/>
        <v>0</v>
      </c>
      <c r="AN166" s="84">
        <f t="shared" si="272"/>
        <v>0</v>
      </c>
      <c r="AO166" s="84">
        <f t="shared" si="273"/>
        <v>0</v>
      </c>
      <c r="AP166" s="84">
        <f t="shared" si="274"/>
        <v>2224</v>
      </c>
      <c r="AQ166" s="84">
        <f t="shared" si="275"/>
        <v>0</v>
      </c>
    </row>
    <row r="167" spans="2:43" x14ac:dyDescent="0.25">
      <c r="B167" s="86" t="s">
        <v>638</v>
      </c>
      <c r="C167" s="183" t="s">
        <v>639</v>
      </c>
      <c r="D167" s="85" t="s">
        <v>90</v>
      </c>
      <c r="E167" s="84">
        <f>IF(D167=$B$12,H167,0)</f>
        <v>0</v>
      </c>
      <c r="F167" s="84">
        <f>IF(E167&gt;0,0,1)</f>
        <v>1</v>
      </c>
      <c r="G167" s="84" t="s">
        <v>640</v>
      </c>
      <c r="H167" s="85">
        <v>6</v>
      </c>
      <c r="I167" s="85"/>
      <c r="J167" s="84" t="s">
        <v>36</v>
      </c>
      <c r="K167" s="84" t="s">
        <v>56</v>
      </c>
      <c r="L167" s="90">
        <v>0</v>
      </c>
      <c r="M167" s="96" t="s">
        <v>37</v>
      </c>
      <c r="N167" s="84"/>
      <c r="O167" s="107">
        <v>1471</v>
      </c>
      <c r="P167" s="58">
        <f>ROUND((O167*0.4),0)</f>
        <v>588</v>
      </c>
      <c r="Q167" s="84">
        <f>IF(O167&gt;0,((O167+500)-P167)+T167,0)</f>
        <v>1460</v>
      </c>
      <c r="R167" s="57" t="s">
        <v>641</v>
      </c>
      <c r="S167" s="89"/>
      <c r="T167" s="89">
        <f>IF(U167=$AD$2,47,IF(U167=$AD$1,ROUND(((O167+500)*0.039),0),IF(U167=$AD$3,0)))</f>
        <v>77</v>
      </c>
      <c r="U167" s="87" t="str">
        <f>IF(V167=1,$AD$2,IF(V167=2,$AD$1,IF(AND(V167&lt;&gt;1,V167&lt;&gt;20)=TRUE,$AD$3)))</f>
        <v>PAYPAL</v>
      </c>
      <c r="V167" s="97">
        <v>2</v>
      </c>
      <c r="W167" s="90" t="s">
        <v>166</v>
      </c>
      <c r="X167" s="89">
        <f>Q167+P167</f>
        <v>2048</v>
      </c>
      <c r="Y167" s="89"/>
      <c r="Z167" s="58">
        <f>IF(W167=$Z$1,Q167-500,0)</f>
        <v>0</v>
      </c>
      <c r="AA167" s="58">
        <f>IF(H167&gt;0,130,0)</f>
        <v>130</v>
      </c>
      <c r="AB167" s="58"/>
      <c r="AC167" s="98">
        <f>(O167+T167)-AA167</f>
        <v>1418</v>
      </c>
      <c r="AD167" s="58"/>
      <c r="AE167" s="58">
        <f>IF(H167&gt;0,30*F167,0)</f>
        <v>30</v>
      </c>
      <c r="AF167" s="58">
        <f>IF(AG167&gt;0,AG58:AG167,0)</f>
        <v>1388</v>
      </c>
      <c r="AG167" s="58">
        <f>AC167-AE167</f>
        <v>1388</v>
      </c>
      <c r="AI167">
        <f>IF(S167=1,O167-T167,0)</f>
        <v>0</v>
      </c>
      <c r="AJ167">
        <f>IF(S167=2,O167-T167,0)</f>
        <v>0</v>
      </c>
      <c r="AK167">
        <f>IF(S167=3,O167-T167,0)</f>
        <v>0</v>
      </c>
      <c r="AL167">
        <f>IF(S167=4,O167-T167,0)</f>
        <v>0</v>
      </c>
      <c r="AN167">
        <f>IF(S167=1,O167-T167,0)</f>
        <v>0</v>
      </c>
      <c r="AO167">
        <f>IF(S167=2,O167-T167,0)</f>
        <v>0</v>
      </c>
      <c r="AP167">
        <f>IF(S167=3,O167-T167,0)</f>
        <v>0</v>
      </c>
      <c r="AQ167">
        <f>IF(S167=4,O167-T167,0)</f>
        <v>0</v>
      </c>
    </row>
    <row r="168" spans="2:43" x14ac:dyDescent="0.25">
      <c r="B168" s="103" t="s">
        <v>83</v>
      </c>
      <c r="C168" s="86" t="s">
        <v>444</v>
      </c>
      <c r="D168" s="85" t="s">
        <v>43</v>
      </c>
      <c r="E168" s="84">
        <f t="shared" si="256"/>
        <v>4</v>
      </c>
      <c r="F168" s="84">
        <f t="shared" si="257"/>
        <v>0</v>
      </c>
      <c r="G168" s="108" t="s">
        <v>628</v>
      </c>
      <c r="H168" s="85">
        <v>4</v>
      </c>
      <c r="I168" s="85"/>
      <c r="J168" s="84" t="s">
        <v>64</v>
      </c>
      <c r="K168" s="84" t="s">
        <v>56</v>
      </c>
      <c r="L168" s="90">
        <v>3</v>
      </c>
      <c r="M168" s="96" t="s">
        <v>37</v>
      </c>
      <c r="N168" s="84"/>
      <c r="O168" s="107">
        <v>0</v>
      </c>
      <c r="P168" s="58">
        <f t="shared" si="258"/>
        <v>0</v>
      </c>
      <c r="Q168" s="84">
        <f t="shared" si="259"/>
        <v>0</v>
      </c>
      <c r="R168" s="57"/>
      <c r="S168" s="89"/>
      <c r="T168" s="89">
        <f t="shared" si="260"/>
        <v>0</v>
      </c>
      <c r="U168" s="87" t="str">
        <f t="shared" si="261"/>
        <v>NONE</v>
      </c>
      <c r="V168" s="97"/>
      <c r="W168" s="90"/>
      <c r="X168" s="89">
        <f t="shared" si="262"/>
        <v>0</v>
      </c>
      <c r="Y168" s="89"/>
      <c r="Z168" s="58">
        <f t="shared" si="263"/>
        <v>0</v>
      </c>
      <c r="AA168" s="58">
        <f t="shared" si="264"/>
        <v>130</v>
      </c>
      <c r="AB168" s="58"/>
      <c r="AC168" s="98">
        <f t="shared" si="265"/>
        <v>-130</v>
      </c>
      <c r="AD168" s="58"/>
      <c r="AE168" s="58">
        <f t="shared" si="266"/>
        <v>0</v>
      </c>
      <c r="AF168" s="58">
        <f>IF(AG168&gt;0,AG87:AG168,0)</f>
        <v>0</v>
      </c>
      <c r="AG168" s="58">
        <f t="shared" si="267"/>
        <v>-130</v>
      </c>
      <c r="AI168">
        <f t="shared" si="268"/>
        <v>0</v>
      </c>
      <c r="AJ168">
        <f t="shared" si="269"/>
        <v>0</v>
      </c>
      <c r="AK168">
        <f t="shared" si="270"/>
        <v>0</v>
      </c>
      <c r="AL168">
        <f t="shared" si="271"/>
        <v>0</v>
      </c>
      <c r="AN168">
        <f t="shared" si="272"/>
        <v>0</v>
      </c>
      <c r="AO168">
        <f t="shared" si="273"/>
        <v>0</v>
      </c>
      <c r="AP168">
        <f t="shared" si="274"/>
        <v>0</v>
      </c>
      <c r="AQ168">
        <f t="shared" si="275"/>
        <v>0</v>
      </c>
    </row>
    <row r="169" spans="2:43" x14ac:dyDescent="0.25">
      <c r="B169" s="111" t="s">
        <v>675</v>
      </c>
      <c r="C169" s="84" t="s">
        <v>338</v>
      </c>
      <c r="D169" s="84" t="s">
        <v>31</v>
      </c>
      <c r="E169" s="84">
        <f t="shared" si="256"/>
        <v>0</v>
      </c>
      <c r="F169" s="84">
        <f>IF(E169&gt;0,0,1)</f>
        <v>1</v>
      </c>
      <c r="G169" s="84" t="s">
        <v>529</v>
      </c>
      <c r="H169" s="85">
        <v>8</v>
      </c>
      <c r="I169" s="85"/>
      <c r="J169" s="84" t="s">
        <v>578</v>
      </c>
      <c r="K169" s="84" t="s">
        <v>56</v>
      </c>
      <c r="L169" s="90">
        <v>0</v>
      </c>
      <c r="M169" s="96" t="s">
        <v>37</v>
      </c>
      <c r="N169" s="84"/>
      <c r="O169" s="107">
        <v>1433</v>
      </c>
      <c r="P169" s="58">
        <f>ROUND((O169*0.4),0)</f>
        <v>573</v>
      </c>
      <c r="Q169" s="84">
        <f>IF(O169&gt;0,((O169+500)-P169)+T169,0)</f>
        <v>1435</v>
      </c>
      <c r="R169" s="57" t="s">
        <v>530</v>
      </c>
      <c r="S169" s="89">
        <v>3</v>
      </c>
      <c r="T169" s="89">
        <f>IF(U169=$AD$2,47,IF(U169=$AD$1,ROUND(((O169+500)*0.039),0),IF(U169=$AD$3,0)))</f>
        <v>75</v>
      </c>
      <c r="U169" s="87" t="str">
        <f>IF(V169=1,$AD$2,IF(V169=2,$AD$1,IF(AND(V169&lt;&gt;1,V169&lt;&gt;20)=TRUE,$AD$3)))</f>
        <v>PAYPAL</v>
      </c>
      <c r="V169" s="97">
        <v>2</v>
      </c>
      <c r="W169" s="90" t="s">
        <v>166</v>
      </c>
      <c r="X169" s="89">
        <f>Q169+P169</f>
        <v>2008</v>
      </c>
      <c r="Y169" s="89"/>
      <c r="Z169" s="58">
        <f>IF(W169=$Z$1,Q169-500,0)</f>
        <v>0</v>
      </c>
      <c r="AA169" s="58">
        <f>IF(H169&gt;0,130,0)</f>
        <v>130</v>
      </c>
      <c r="AB169" s="58"/>
      <c r="AC169" s="98">
        <f>(O169+T169)-AA169</f>
        <v>1378</v>
      </c>
      <c r="AD169" s="58"/>
      <c r="AE169" s="58">
        <f>IF(H169&gt;0,30*F169,0)</f>
        <v>30</v>
      </c>
      <c r="AF169" s="58">
        <f>IF(AG169&gt;0,AG65:AG169,0)</f>
        <v>1348</v>
      </c>
      <c r="AG169" s="58">
        <f>AC169-AE169</f>
        <v>1348</v>
      </c>
      <c r="AI169">
        <f>IF(S169=1,O169-T169,0)</f>
        <v>0</v>
      </c>
      <c r="AJ169">
        <f>IF(S169=2,O169-T169,0)</f>
        <v>0</v>
      </c>
      <c r="AK169">
        <f>IF(S169=3,O169-T169,0)</f>
        <v>1358</v>
      </c>
      <c r="AL169">
        <f>IF(S169=4,O169-T169,0)</f>
        <v>0</v>
      </c>
      <c r="AN169">
        <f>IF(S169=1,O169-T169,0)</f>
        <v>0</v>
      </c>
      <c r="AO169">
        <f>IF(S169=2,O169-T169,0)</f>
        <v>0</v>
      </c>
      <c r="AP169">
        <f>IF(S169=3,O169-T169,0)</f>
        <v>1358</v>
      </c>
      <c r="AQ169">
        <f>IF(S169=4,O169-T169,0)</f>
        <v>0</v>
      </c>
    </row>
    <row r="170" spans="2:43" x14ac:dyDescent="0.25">
      <c r="B170" s="86" t="s">
        <v>719</v>
      </c>
      <c r="C170" s="86"/>
      <c r="D170" s="84" t="s">
        <v>43</v>
      </c>
      <c r="E170" s="85">
        <f t="shared" si="256"/>
        <v>6</v>
      </c>
      <c r="F170" s="85">
        <f t="shared" ref="F170" si="276">IF(E170&gt;0,0,1)</f>
        <v>0</v>
      </c>
      <c r="G170" s="148" t="s">
        <v>720</v>
      </c>
      <c r="H170" s="86">
        <v>6</v>
      </c>
      <c r="I170" s="85"/>
      <c r="J170" s="84" t="s">
        <v>721</v>
      </c>
      <c r="K170" s="84" t="s">
        <v>56</v>
      </c>
      <c r="L170" s="146">
        <v>0</v>
      </c>
      <c r="M170" s="96" t="s">
        <v>37</v>
      </c>
      <c r="N170" s="85"/>
      <c r="O170" s="107">
        <v>0</v>
      </c>
      <c r="P170" s="113">
        <f t="shared" ref="P170" si="277">ROUND((O170*0.4),0)</f>
        <v>0</v>
      </c>
      <c r="Q170" s="85">
        <f t="shared" ref="Q170" si="278">IF(O170&gt;0,((O170+500)-P170)+T170,0)</f>
        <v>0</v>
      </c>
      <c r="R170" s="84"/>
      <c r="S170" s="154"/>
      <c r="T170" s="154">
        <f t="shared" ref="T170" si="279">IF(U170=$AD$2,47,IF(U170=$AD$1,ROUND(((O170+500)*0.039),0),IF(U170=$AD$3,0)))</f>
        <v>0</v>
      </c>
      <c r="U170" s="87" t="str">
        <f t="shared" ref="U170" si="280">IF(V170=1,$AD$2,IF(V170=2,$AD$1,IF(AND(V170&lt;&gt;1,V170&lt;&gt;20)=TRUE,$AD$3)))</f>
        <v>NONE</v>
      </c>
      <c r="V170" s="97"/>
      <c r="W170" s="146"/>
      <c r="X170" s="89">
        <f t="shared" ref="X170" si="281">Q170+P170</f>
        <v>0</v>
      </c>
      <c r="Y170" s="154"/>
      <c r="Z170" s="113">
        <f t="shared" ref="Z170" si="282">IF(W170=$Z$1,Q170-500,0)</f>
        <v>0</v>
      </c>
      <c r="AA170" s="113">
        <f t="shared" ref="AA170" si="283">IF(H170&gt;0,130,0)</f>
        <v>130</v>
      </c>
      <c r="AB170" s="113"/>
      <c r="AC170" s="155">
        <f t="shared" ref="AC170" si="284">(O170+T170)-AA170</f>
        <v>-130</v>
      </c>
      <c r="AD170" s="113"/>
      <c r="AE170" s="113">
        <f t="shared" ref="AE170" si="285">IF(H170&gt;0,30*F170,0)</f>
        <v>0</v>
      </c>
      <c r="AF170" s="113">
        <f>IF(AG170&gt;0,AG66:AG178,0)</f>
        <v>0</v>
      </c>
      <c r="AG170" s="113">
        <f t="shared" ref="AG170" si="286">AC170-AE170</f>
        <v>-130</v>
      </c>
      <c r="AI170">
        <f t="shared" ref="AI170" si="287">IF(S170=1,O170-T170,0)</f>
        <v>0</v>
      </c>
      <c r="AJ170">
        <f t="shared" ref="AJ170" si="288">IF(S170=2,O170-T170,0)</f>
        <v>0</v>
      </c>
      <c r="AK170">
        <f t="shared" ref="AK170" si="289">IF(S170=3,O170-T170,0)</f>
        <v>0</v>
      </c>
      <c r="AL170">
        <f t="shared" ref="AL170" si="290">IF(S170=4,O170-T170,0)</f>
        <v>0</v>
      </c>
      <c r="AN170">
        <f t="shared" ref="AN170" si="291">IF(S170=1,O170-T170,0)</f>
        <v>0</v>
      </c>
      <c r="AO170">
        <f t="shared" ref="AO170" si="292">IF(S170=2,O170-T170,0)</f>
        <v>0</v>
      </c>
      <c r="AP170">
        <f t="shared" ref="AP170" si="293">IF(S170=3,O170-T170,0)</f>
        <v>0</v>
      </c>
      <c r="AQ170">
        <f t="shared" ref="AQ170" si="294">IF(S170=4,O170-T170,0)</f>
        <v>0</v>
      </c>
    </row>
    <row r="171" spans="2:43" x14ac:dyDescent="0.25">
      <c r="B171" s="103" t="s">
        <v>83</v>
      </c>
      <c r="C171" s="86" t="s">
        <v>444</v>
      </c>
      <c r="D171" s="85" t="s">
        <v>43</v>
      </c>
      <c r="E171" s="84">
        <f t="shared" si="256"/>
        <v>4</v>
      </c>
      <c r="F171" s="84">
        <f t="shared" si="257"/>
        <v>0</v>
      </c>
      <c r="G171" s="108" t="s">
        <v>722</v>
      </c>
      <c r="H171" s="85">
        <v>4</v>
      </c>
      <c r="I171" s="85"/>
      <c r="J171" s="84" t="s">
        <v>64</v>
      </c>
      <c r="K171" s="84" t="s">
        <v>56</v>
      </c>
      <c r="L171" s="90">
        <v>3</v>
      </c>
      <c r="M171" s="96" t="s">
        <v>37</v>
      </c>
      <c r="N171" s="84"/>
      <c r="O171" s="107">
        <v>0</v>
      </c>
      <c r="P171" s="58">
        <f t="shared" si="258"/>
        <v>0</v>
      </c>
      <c r="Q171" s="84">
        <f t="shared" si="259"/>
        <v>0</v>
      </c>
      <c r="R171" s="57"/>
      <c r="S171" s="89">
        <v>3</v>
      </c>
      <c r="T171" s="89">
        <f t="shared" si="260"/>
        <v>0</v>
      </c>
      <c r="U171" s="87" t="str">
        <f t="shared" si="261"/>
        <v>NONE</v>
      </c>
      <c r="V171" s="97"/>
      <c r="W171" s="90"/>
      <c r="X171" s="89">
        <f t="shared" si="262"/>
        <v>0</v>
      </c>
      <c r="Y171" s="89"/>
      <c r="Z171" s="58">
        <f t="shared" si="263"/>
        <v>0</v>
      </c>
      <c r="AA171" s="58">
        <f t="shared" si="264"/>
        <v>130</v>
      </c>
      <c r="AB171" s="58"/>
      <c r="AC171" s="98">
        <f t="shared" si="265"/>
        <v>-130</v>
      </c>
      <c r="AD171" s="58"/>
      <c r="AE171" s="58">
        <f t="shared" si="266"/>
        <v>0</v>
      </c>
      <c r="AF171" s="58">
        <f>IF(AG171&gt;0,AG88:AG171,0)</f>
        <v>0</v>
      </c>
      <c r="AG171" s="58">
        <f t="shared" si="267"/>
        <v>-130</v>
      </c>
      <c r="AI171">
        <f t="shared" si="268"/>
        <v>0</v>
      </c>
      <c r="AJ171">
        <f t="shared" si="269"/>
        <v>0</v>
      </c>
      <c r="AK171">
        <f t="shared" si="270"/>
        <v>0</v>
      </c>
      <c r="AL171">
        <f t="shared" si="271"/>
        <v>0</v>
      </c>
      <c r="AN171">
        <f t="shared" si="272"/>
        <v>0</v>
      </c>
      <c r="AO171">
        <f t="shared" si="273"/>
        <v>0</v>
      </c>
      <c r="AP171">
        <f t="shared" si="274"/>
        <v>0</v>
      </c>
      <c r="AQ171">
        <f t="shared" si="275"/>
        <v>0</v>
      </c>
    </row>
    <row r="172" spans="2:43" x14ac:dyDescent="0.25">
      <c r="B172" s="86" t="s">
        <v>688</v>
      </c>
      <c r="C172" t="s">
        <v>689</v>
      </c>
      <c r="D172" s="84"/>
      <c r="E172" s="85">
        <f t="shared" ref="E172" si="295">IF(D172=$B$12,H172,0)</f>
        <v>0</v>
      </c>
      <c r="F172" s="85">
        <f t="shared" ref="F172" si="296">IF(E172&gt;0,0,1)</f>
        <v>1</v>
      </c>
      <c r="G172" s="148" t="s">
        <v>690</v>
      </c>
      <c r="H172" s="86">
        <v>11</v>
      </c>
      <c r="I172" s="85"/>
      <c r="J172" s="84" t="s">
        <v>109</v>
      </c>
      <c r="K172" s="84" t="s">
        <v>56</v>
      </c>
      <c r="L172" s="146">
        <v>0</v>
      </c>
      <c r="M172" s="96" t="s">
        <v>37</v>
      </c>
      <c r="N172" s="85"/>
      <c r="O172" s="107">
        <v>2245</v>
      </c>
      <c r="P172" s="113">
        <f t="shared" ref="P172" si="297">ROUND((O172*0.4),0)</f>
        <v>898</v>
      </c>
      <c r="Q172" s="85">
        <f t="shared" ref="Q172" si="298">IF(O172&gt;0,((O172+500)-P172)+T172,0)</f>
        <v>1935</v>
      </c>
      <c r="R172" s="200" t="s">
        <v>691</v>
      </c>
      <c r="S172" s="154"/>
      <c r="T172" s="154">
        <v>88</v>
      </c>
      <c r="U172" s="87" t="str">
        <f t="shared" ref="U172" si="299">IF(V172=1,$AD$2,IF(V172=2,$AD$1,IF(AND(V172&lt;&gt;1,V172&lt;&gt;20)=TRUE,$AD$3)))</f>
        <v>PAYPAL</v>
      </c>
      <c r="V172" s="97">
        <v>2</v>
      </c>
      <c r="W172" s="90" t="s">
        <v>57</v>
      </c>
      <c r="X172" s="89">
        <f t="shared" ref="X172" si="300">Q172+P172</f>
        <v>2833</v>
      </c>
      <c r="Y172" s="154"/>
      <c r="Z172" s="113">
        <f t="shared" ref="Z172" si="301">IF(W172=$Z$1,Q172-500,0)</f>
        <v>1435</v>
      </c>
      <c r="AA172" s="113">
        <f t="shared" ref="AA172" si="302">IF(H172&gt;0,130,0)</f>
        <v>130</v>
      </c>
      <c r="AB172" s="113"/>
      <c r="AC172" s="155">
        <f t="shared" ref="AC172" si="303">(O172+T172)-AA172</f>
        <v>2203</v>
      </c>
      <c r="AD172" s="113"/>
      <c r="AE172" s="113">
        <f t="shared" ref="AE172" si="304">IF(H172&gt;0,30*F172,0)</f>
        <v>30</v>
      </c>
      <c r="AF172" s="113">
        <f>IF(AG172&gt;0,AG100:AG213,0)</f>
        <v>2173</v>
      </c>
      <c r="AG172" s="113">
        <f t="shared" ref="AG172" si="305">AC172-AE172</f>
        <v>2173</v>
      </c>
      <c r="AI172">
        <f t="shared" ref="AI172" si="306">IF(S172=1,O172-T172,0)</f>
        <v>0</v>
      </c>
      <c r="AJ172">
        <f t="shared" ref="AJ172" si="307">IF(S172=2,O172-T172,0)</f>
        <v>0</v>
      </c>
      <c r="AK172">
        <f t="shared" ref="AK172" si="308">IF(S172=3,O172-T172,0)</f>
        <v>0</v>
      </c>
      <c r="AL172">
        <f t="shared" ref="AL172" si="309">IF(S172=4,O172-T172,0)</f>
        <v>0</v>
      </c>
      <c r="AN172">
        <f t="shared" ref="AN172" si="310">IF(S172=1,O172-T172,0)</f>
        <v>0</v>
      </c>
      <c r="AO172">
        <f t="shared" ref="AO172" si="311">IF(S172=2,O172-T172,0)</f>
        <v>0</v>
      </c>
      <c r="AP172">
        <f t="shared" ref="AP172" si="312">IF(S172=3,O172-T172,0)</f>
        <v>0</v>
      </c>
      <c r="AQ172">
        <f t="shared" ref="AQ172" si="313">IF(S172=4,O172-T172,0)</f>
        <v>0</v>
      </c>
    </row>
    <row r="173" spans="2:43" x14ac:dyDescent="0.25">
      <c r="B173" s="103" t="s">
        <v>83</v>
      </c>
      <c r="C173" s="86" t="s">
        <v>444</v>
      </c>
      <c r="D173" s="85" t="s">
        <v>43</v>
      </c>
      <c r="E173" s="84">
        <f t="shared" si="256"/>
        <v>3</v>
      </c>
      <c r="F173" s="84">
        <f t="shared" si="257"/>
        <v>0</v>
      </c>
      <c r="G173" s="104" t="s">
        <v>478</v>
      </c>
      <c r="H173" s="85">
        <v>3</v>
      </c>
      <c r="I173" s="85"/>
      <c r="J173" s="84" t="s">
        <v>64</v>
      </c>
      <c r="K173" s="84" t="s">
        <v>56</v>
      </c>
      <c r="L173" s="90">
        <v>3</v>
      </c>
      <c r="M173" s="96" t="s">
        <v>37</v>
      </c>
      <c r="N173" s="84"/>
      <c r="O173" s="107">
        <v>0</v>
      </c>
      <c r="P173" s="58">
        <f t="shared" si="258"/>
        <v>0</v>
      </c>
      <c r="Q173" s="84">
        <f t="shared" si="259"/>
        <v>0</v>
      </c>
      <c r="R173" s="57"/>
      <c r="S173" s="89">
        <v>4</v>
      </c>
      <c r="T173" s="89">
        <f t="shared" si="260"/>
        <v>0</v>
      </c>
      <c r="U173" s="87" t="str">
        <f t="shared" si="261"/>
        <v>NONE</v>
      </c>
      <c r="V173" s="97"/>
      <c r="W173" s="90"/>
      <c r="X173" s="89">
        <f t="shared" si="262"/>
        <v>0</v>
      </c>
      <c r="Y173" s="89"/>
      <c r="Z173" s="58">
        <f t="shared" si="263"/>
        <v>0</v>
      </c>
      <c r="AA173" s="58">
        <f t="shared" si="264"/>
        <v>130</v>
      </c>
      <c r="AB173" s="58"/>
      <c r="AC173" s="98">
        <f t="shared" si="265"/>
        <v>-130</v>
      </c>
      <c r="AD173" s="58"/>
      <c r="AE173" s="58">
        <f t="shared" si="266"/>
        <v>0</v>
      </c>
      <c r="AF173" s="58">
        <f>IF(AG173&gt;0,AG89:AG173,0)</f>
        <v>0</v>
      </c>
      <c r="AG173" s="58">
        <f t="shared" si="267"/>
        <v>-130</v>
      </c>
      <c r="AI173">
        <f t="shared" si="268"/>
        <v>0</v>
      </c>
      <c r="AJ173">
        <f t="shared" si="269"/>
        <v>0</v>
      </c>
      <c r="AK173">
        <f t="shared" si="270"/>
        <v>0</v>
      </c>
      <c r="AL173">
        <f t="shared" si="271"/>
        <v>0</v>
      </c>
      <c r="AN173">
        <f t="shared" si="272"/>
        <v>0</v>
      </c>
      <c r="AO173">
        <f t="shared" si="273"/>
        <v>0</v>
      </c>
      <c r="AP173">
        <f t="shared" si="274"/>
        <v>0</v>
      </c>
      <c r="AQ173">
        <f t="shared" si="275"/>
        <v>0</v>
      </c>
    </row>
    <row r="174" spans="2:43" ht="15.75" x14ac:dyDescent="0.25">
      <c r="B174" s="187" t="s">
        <v>594</v>
      </c>
      <c r="C174" t="s">
        <v>595</v>
      </c>
      <c r="D174" s="84" t="s">
        <v>62</v>
      </c>
      <c r="E174" s="84">
        <f>IF(D174=$B$12,H174,0)</f>
        <v>0</v>
      </c>
      <c r="F174" s="84">
        <f>IF(E174&gt;0,0,1)</f>
        <v>1</v>
      </c>
      <c r="G174" s="84" t="s">
        <v>649</v>
      </c>
      <c r="H174" s="85">
        <v>14</v>
      </c>
      <c r="I174" s="85"/>
      <c r="J174" s="84" t="s">
        <v>36</v>
      </c>
      <c r="K174" s="84" t="s">
        <v>56</v>
      </c>
      <c r="L174" s="90">
        <v>0</v>
      </c>
      <c r="M174" s="96" t="s">
        <v>37</v>
      </c>
      <c r="N174" s="84"/>
      <c r="O174" s="107">
        <v>2805</v>
      </c>
      <c r="P174" s="58">
        <f>ROUND((O174*0.4),0)</f>
        <v>1122</v>
      </c>
      <c r="Q174" s="84">
        <f>IF(O174&gt;0,((O174+500)-P174)+T174,0)</f>
        <v>2312</v>
      </c>
      <c r="R174" s="57">
        <v>41509</v>
      </c>
      <c r="S174" s="89">
        <v>4</v>
      </c>
      <c r="T174" s="89">
        <f>IF(U174=$AD$2,47,IF(U174=$AD$1,ROUND(((O174+500)*0.039),0),IF(U174=$AD$3,0)))</f>
        <v>129</v>
      </c>
      <c r="U174" s="87" t="str">
        <f>IF(V174=1,$AD$2,IF(V174=2,$AD$1,IF(AND(V174&lt;&gt;1,V174&lt;&gt;20)=TRUE,$AD$3)))</f>
        <v>PAYPAL</v>
      </c>
      <c r="V174" s="97">
        <v>2</v>
      </c>
      <c r="W174" s="90" t="s">
        <v>604</v>
      </c>
      <c r="X174" s="89">
        <f>Q174+P174</f>
        <v>3434</v>
      </c>
      <c r="Y174" s="89"/>
      <c r="Z174" s="58">
        <f>IF(W174=$Z$1,Q174-500,0)</f>
        <v>0</v>
      </c>
      <c r="AA174" s="58">
        <f>IF(H174&gt;0,130,0)</f>
        <v>130</v>
      </c>
      <c r="AB174" s="58"/>
      <c r="AC174" s="98">
        <f>(O174+T174)-AA174</f>
        <v>2804</v>
      </c>
      <c r="AD174" s="58"/>
      <c r="AE174" s="58">
        <f>IF(H174&gt;0,30*F174,0)</f>
        <v>30</v>
      </c>
      <c r="AF174" s="58">
        <f>IF(AG174&gt;0,AG66:AG174,0)</f>
        <v>2774</v>
      </c>
      <c r="AG174" s="58">
        <f>AC174-AE174</f>
        <v>2774</v>
      </c>
      <c r="AI174">
        <f>IF(S174=1,O174-T174,0)</f>
        <v>0</v>
      </c>
      <c r="AJ174">
        <f>IF(S174=2,O174-T174,0)</f>
        <v>0</v>
      </c>
      <c r="AK174">
        <f>IF(S174=3,O174-T174,0)</f>
        <v>0</v>
      </c>
      <c r="AL174">
        <f>IF(S174=4,O174-T174,0)</f>
        <v>2676</v>
      </c>
      <c r="AN174">
        <f>IF(S174=1,O174-T174,0)</f>
        <v>0</v>
      </c>
      <c r="AO174">
        <f>IF(S174=2,O174-T174,0)</f>
        <v>0</v>
      </c>
      <c r="AP174">
        <f>IF(S174=3,O174-T174,0)</f>
        <v>0</v>
      </c>
      <c r="AQ174">
        <f>IF(S174=4,O174-T174,0)</f>
        <v>2676</v>
      </c>
    </row>
    <row r="175" spans="2:43" x14ac:dyDescent="0.25">
      <c r="B175" s="86" t="s">
        <v>652</v>
      </c>
      <c r="C175" t="s">
        <v>651</v>
      </c>
      <c r="D175" s="85" t="s">
        <v>376</v>
      </c>
      <c r="E175" s="84">
        <f t="shared" si="256"/>
        <v>0</v>
      </c>
      <c r="F175" s="84">
        <f t="shared" si="257"/>
        <v>1</v>
      </c>
      <c r="G175" s="148" t="s">
        <v>650</v>
      </c>
      <c r="H175" s="85">
        <v>8</v>
      </c>
      <c r="I175" s="85"/>
      <c r="J175" s="84" t="s">
        <v>407</v>
      </c>
      <c r="K175" s="84" t="s">
        <v>56</v>
      </c>
      <c r="L175" s="90">
        <v>0</v>
      </c>
      <c r="M175" s="96" t="s">
        <v>37</v>
      </c>
      <c r="N175" s="84"/>
      <c r="O175" s="107">
        <v>1685</v>
      </c>
      <c r="P175" s="58">
        <f t="shared" si="258"/>
        <v>674</v>
      </c>
      <c r="Q175" s="84">
        <f t="shared" si="259"/>
        <v>1596</v>
      </c>
      <c r="R175" s="57">
        <v>41890</v>
      </c>
      <c r="S175" s="89">
        <v>4</v>
      </c>
      <c r="T175" s="89">
        <f t="shared" si="260"/>
        <v>85</v>
      </c>
      <c r="U175" s="87" t="str">
        <f t="shared" si="261"/>
        <v>PAYPAL</v>
      </c>
      <c r="V175" s="97">
        <v>2</v>
      </c>
      <c r="W175" s="90" t="s">
        <v>604</v>
      </c>
      <c r="X175" s="89">
        <f t="shared" si="262"/>
        <v>2270</v>
      </c>
      <c r="Y175" s="89"/>
      <c r="Z175" s="58">
        <f t="shared" si="263"/>
        <v>0</v>
      </c>
      <c r="AA175" s="58">
        <f t="shared" si="264"/>
        <v>130</v>
      </c>
      <c r="AB175" s="58"/>
      <c r="AC175" s="98">
        <f t="shared" si="265"/>
        <v>1640</v>
      </c>
      <c r="AD175" s="58"/>
      <c r="AE175" s="58">
        <f t="shared" si="266"/>
        <v>30</v>
      </c>
      <c r="AF175" s="58">
        <f>IF(AG175&gt;0,AG90:AG175,0)</f>
        <v>1610</v>
      </c>
      <c r="AG175" s="58">
        <f t="shared" si="267"/>
        <v>1610</v>
      </c>
      <c r="AI175">
        <f t="shared" si="268"/>
        <v>0</v>
      </c>
      <c r="AJ175">
        <f t="shared" si="269"/>
        <v>0</v>
      </c>
      <c r="AK175">
        <f t="shared" si="270"/>
        <v>0</v>
      </c>
      <c r="AL175">
        <f t="shared" si="271"/>
        <v>1600</v>
      </c>
      <c r="AN175">
        <f t="shared" si="272"/>
        <v>0</v>
      </c>
      <c r="AO175">
        <f t="shared" si="273"/>
        <v>0</v>
      </c>
      <c r="AP175">
        <f t="shared" si="274"/>
        <v>0</v>
      </c>
      <c r="AQ175">
        <f t="shared" si="275"/>
        <v>1600</v>
      </c>
    </row>
    <row r="176" spans="2:43" x14ac:dyDescent="0.25">
      <c r="B176" s="148" t="s">
        <v>607</v>
      </c>
      <c r="C176" t="s">
        <v>538</v>
      </c>
      <c r="D176" s="85" t="s">
        <v>31</v>
      </c>
      <c r="E176" s="84">
        <f>IF(D176=$B$12,H176,0)</f>
        <v>0</v>
      </c>
      <c r="F176" s="84">
        <f>IF(E176&gt;0,0,1)</f>
        <v>1</v>
      </c>
      <c r="G176" s="84" t="s">
        <v>606</v>
      </c>
      <c r="H176" s="85">
        <v>7</v>
      </c>
      <c r="I176" s="85"/>
      <c r="J176" s="84" t="s">
        <v>104</v>
      </c>
      <c r="K176" s="84" t="s">
        <v>56</v>
      </c>
      <c r="L176" s="90">
        <v>0</v>
      </c>
      <c r="M176" s="96" t="s">
        <v>37</v>
      </c>
      <c r="N176" s="84"/>
      <c r="O176" s="107">
        <v>1374</v>
      </c>
      <c r="P176" s="58">
        <v>500</v>
      </c>
      <c r="Q176" s="84">
        <f>IF(O176&gt;0,((O176+500)-P176)+T176,0)</f>
        <v>1447</v>
      </c>
      <c r="R176" s="57">
        <v>41537</v>
      </c>
      <c r="S176" s="89">
        <v>4</v>
      </c>
      <c r="T176" s="89">
        <f>IF(U176=$AD$2,47,IF(U176=$AD$1,ROUND(((O176+500)*0.039),0),IF(U176=$AD$3,0)))</f>
        <v>73</v>
      </c>
      <c r="U176" s="87" t="str">
        <f t="shared" si="261"/>
        <v>PAYPAL</v>
      </c>
      <c r="V176" s="97">
        <v>2</v>
      </c>
      <c r="W176" s="90" t="s">
        <v>604</v>
      </c>
      <c r="X176" s="89">
        <f>Q176+P176</f>
        <v>1947</v>
      </c>
      <c r="Y176" s="89"/>
      <c r="Z176" s="58">
        <f>IF(W176=$Z$1,Q176-500,0)</f>
        <v>0</v>
      </c>
      <c r="AA176" s="58">
        <f>IF(H176&gt;0,130,0)</f>
        <v>130</v>
      </c>
      <c r="AB176" s="58"/>
      <c r="AC176" s="98">
        <f>(O176+T176)-AA176</f>
        <v>1317</v>
      </c>
      <c r="AD176" s="58"/>
      <c r="AE176" s="58">
        <f>IF(H176&gt;0,30*F176,0)</f>
        <v>30</v>
      </c>
      <c r="AF176" s="58">
        <f>IF(AG176&gt;0,AG68:AG176,0)</f>
        <v>1287</v>
      </c>
      <c r="AG176" s="58">
        <f>AC176-AE176</f>
        <v>1287</v>
      </c>
      <c r="AI176">
        <f>IF(S176=1,O176-T176,0)</f>
        <v>0</v>
      </c>
      <c r="AJ176">
        <f>IF(S176=2,O176-T176,0)</f>
        <v>0</v>
      </c>
      <c r="AK176">
        <f>IF(S176=3,O176-T176,0)</f>
        <v>0</v>
      </c>
      <c r="AL176">
        <f>IF(S176=4,O176-T176,0)</f>
        <v>1301</v>
      </c>
      <c r="AN176">
        <f>IF(S176=1,O176-T176,0)</f>
        <v>0</v>
      </c>
      <c r="AO176">
        <f>IF(S176=2,O176-T176,0)</f>
        <v>0</v>
      </c>
      <c r="AP176">
        <f>IF(S176=3,O176-T176,0)</f>
        <v>0</v>
      </c>
      <c r="AQ176">
        <f>IF(S176=4,O176-T176,0)</f>
        <v>1301</v>
      </c>
    </row>
    <row r="177" spans="1:44" x14ac:dyDescent="0.25">
      <c r="B177" s="103" t="s">
        <v>83</v>
      </c>
      <c r="C177" s="86" t="s">
        <v>444</v>
      </c>
      <c r="D177" s="85" t="s">
        <v>43</v>
      </c>
      <c r="E177" s="84">
        <f t="shared" ref="E177:E178" si="314">IF(D177=$B$12,H177,0)</f>
        <v>5</v>
      </c>
      <c r="F177" s="84">
        <f t="shared" ref="F177:F178" si="315">IF(E177&gt;0,0,1)</f>
        <v>0</v>
      </c>
      <c r="G177" s="105" t="s">
        <v>631</v>
      </c>
      <c r="H177" s="85">
        <v>5</v>
      </c>
      <c r="I177" s="85"/>
      <c r="J177" s="84" t="s">
        <v>64</v>
      </c>
      <c r="K177" s="84" t="s">
        <v>56</v>
      </c>
      <c r="L177" s="90">
        <v>3</v>
      </c>
      <c r="M177" s="96" t="s">
        <v>37</v>
      </c>
      <c r="N177" s="84"/>
      <c r="O177" s="107">
        <v>0</v>
      </c>
      <c r="P177" s="58">
        <f t="shared" ref="P177:P178" si="316">ROUND((O177*0.4),0)</f>
        <v>0</v>
      </c>
      <c r="Q177" s="84">
        <f t="shared" ref="Q177:Q178" si="317">IF(O177&gt;0,((O177+500)-P177)+T177,0)</f>
        <v>0</v>
      </c>
      <c r="R177" s="57"/>
      <c r="S177" s="89">
        <v>4</v>
      </c>
      <c r="T177" s="89">
        <f t="shared" ref="T177:T178" si="318">IF(U177=$AD$2,47,IF(U177=$AD$1,ROUND(((O177+500)*0.039),0),IF(U177=$AD$3,0)))</f>
        <v>0</v>
      </c>
      <c r="U177" s="87" t="str">
        <f t="shared" ref="U177:U178" si="319">IF(V177=1,$AD$2,IF(V177=2,$AD$1,IF(AND(V177&lt;&gt;1,V177&lt;&gt;20)=TRUE,$AD$3)))</f>
        <v>NONE</v>
      </c>
      <c r="V177" s="97"/>
      <c r="W177" s="90"/>
      <c r="X177" s="89">
        <f t="shared" ref="X177:X178" si="320">Q177+P177</f>
        <v>0</v>
      </c>
      <c r="Y177" s="89"/>
      <c r="Z177" s="58">
        <f t="shared" ref="Z177:Z178" si="321">IF(W177=$Z$1,Q177-500,0)</f>
        <v>0</v>
      </c>
      <c r="AA177" s="58">
        <f t="shared" ref="AA177:AA178" si="322">IF(H177&gt;0,130,0)</f>
        <v>130</v>
      </c>
      <c r="AB177" s="58"/>
      <c r="AC177" s="98">
        <f t="shared" ref="AC177:AC178" si="323">(O177+T177)-AA177</f>
        <v>-130</v>
      </c>
      <c r="AD177" s="58"/>
      <c r="AE177" s="58">
        <f t="shared" ref="AE177:AE178" si="324">IF(H177&gt;0,30*F177,0)</f>
        <v>0</v>
      </c>
      <c r="AF177" s="58">
        <f>IF(AG177&gt;0,AG92:AG177,0)</f>
        <v>0</v>
      </c>
      <c r="AG177" s="58">
        <f t="shared" ref="AG177:AG178" si="325">AC177-AE177</f>
        <v>-130</v>
      </c>
      <c r="AI177">
        <f t="shared" ref="AI177:AI178" si="326">IF(S177=1,O177-T177,0)</f>
        <v>0</v>
      </c>
      <c r="AJ177">
        <f t="shared" ref="AJ177:AJ178" si="327">IF(S177=2,O177-T177,0)</f>
        <v>0</v>
      </c>
      <c r="AK177">
        <f t="shared" ref="AK177:AK178" si="328">IF(S177=3,O177-T177,0)</f>
        <v>0</v>
      </c>
      <c r="AL177">
        <f t="shared" ref="AL177:AL178" si="329">IF(S177=4,O177-T177,0)</f>
        <v>0</v>
      </c>
      <c r="AN177">
        <f t="shared" ref="AN177:AN178" si="330">IF(S177=1,O177-T177,0)</f>
        <v>0</v>
      </c>
      <c r="AO177">
        <f t="shared" ref="AO177:AO178" si="331">IF(S177=2,O177-T177,0)</f>
        <v>0</v>
      </c>
      <c r="AP177">
        <f t="shared" ref="AP177:AP178" si="332">IF(S177=3,O177-T177,0)</f>
        <v>0</v>
      </c>
      <c r="AQ177">
        <f t="shared" ref="AQ177:AQ178" si="333">IF(S177=4,O177-T177,0)</f>
        <v>0</v>
      </c>
    </row>
    <row r="178" spans="1:44" x14ac:dyDescent="0.25">
      <c r="B178" s="8" t="s">
        <v>647</v>
      </c>
      <c r="C178" t="s">
        <v>587</v>
      </c>
      <c r="D178" s="85" t="s">
        <v>376</v>
      </c>
      <c r="E178" s="84">
        <f t="shared" si="314"/>
        <v>0</v>
      </c>
      <c r="F178" s="84">
        <f t="shared" si="315"/>
        <v>1</v>
      </c>
      <c r="G178" s="148" t="s">
        <v>646</v>
      </c>
      <c r="H178" s="85">
        <v>7</v>
      </c>
      <c r="I178" s="85"/>
      <c r="J178" s="84" t="s">
        <v>648</v>
      </c>
      <c r="K178" s="84" t="s">
        <v>56</v>
      </c>
      <c r="L178" s="90">
        <v>0</v>
      </c>
      <c r="M178" s="96" t="s">
        <v>37</v>
      </c>
      <c r="N178" s="84"/>
      <c r="O178" s="107">
        <v>1498</v>
      </c>
      <c r="P178" s="58">
        <f t="shared" si="316"/>
        <v>599</v>
      </c>
      <c r="Q178" s="84">
        <f t="shared" si="317"/>
        <v>1477</v>
      </c>
      <c r="R178" s="57">
        <v>41917</v>
      </c>
      <c r="S178" s="89">
        <v>4</v>
      </c>
      <c r="T178" s="89">
        <f t="shared" si="318"/>
        <v>78</v>
      </c>
      <c r="U178" s="87" t="str">
        <f t="shared" si="319"/>
        <v>PAYPAL</v>
      </c>
      <c r="V178" s="97">
        <v>2</v>
      </c>
      <c r="W178" s="197" t="s">
        <v>653</v>
      </c>
      <c r="X178" s="89">
        <f t="shared" si="320"/>
        <v>2076</v>
      </c>
      <c r="Y178" s="89"/>
      <c r="Z178" s="58">
        <f t="shared" si="321"/>
        <v>0</v>
      </c>
      <c r="AA178" s="58">
        <f t="shared" si="322"/>
        <v>130</v>
      </c>
      <c r="AB178" s="58"/>
      <c r="AC178" s="98">
        <f t="shared" si="323"/>
        <v>1446</v>
      </c>
      <c r="AD178" s="58"/>
      <c r="AE178" s="58">
        <f t="shared" si="324"/>
        <v>30</v>
      </c>
      <c r="AF178" s="58">
        <f>IF(AG178&gt;0,AG93:AG178,0)</f>
        <v>1416</v>
      </c>
      <c r="AG178" s="58">
        <f t="shared" si="325"/>
        <v>1416</v>
      </c>
      <c r="AI178">
        <f t="shared" si="326"/>
        <v>0</v>
      </c>
      <c r="AJ178">
        <f t="shared" si="327"/>
        <v>0</v>
      </c>
      <c r="AK178">
        <f t="shared" si="328"/>
        <v>0</v>
      </c>
      <c r="AL178">
        <f t="shared" si="329"/>
        <v>1420</v>
      </c>
      <c r="AN178">
        <f t="shared" si="330"/>
        <v>0</v>
      </c>
      <c r="AO178">
        <f t="shared" si="331"/>
        <v>0</v>
      </c>
      <c r="AP178">
        <f t="shared" si="332"/>
        <v>0</v>
      </c>
      <c r="AQ178">
        <f t="shared" si="333"/>
        <v>1420</v>
      </c>
    </row>
    <row r="179" spans="1:44" x14ac:dyDescent="0.25">
      <c r="B179" s="84" t="s">
        <v>413</v>
      </c>
      <c r="C179" s="84" t="s">
        <v>414</v>
      </c>
      <c r="D179" s="84" t="s">
        <v>31</v>
      </c>
      <c r="E179" s="84">
        <f t="shared" ref="E179:E180" si="334">IF(D179=$B$12,H179,0)</f>
        <v>0</v>
      </c>
      <c r="F179" s="84">
        <f t="shared" ref="F179:F180" si="335">IF(E179&gt;0,0,1)</f>
        <v>1</v>
      </c>
      <c r="G179" s="115" t="s">
        <v>711</v>
      </c>
      <c r="H179" s="85">
        <v>7</v>
      </c>
      <c r="I179" s="85"/>
      <c r="J179" s="84" t="s">
        <v>629</v>
      </c>
      <c r="K179" s="84" t="s">
        <v>56</v>
      </c>
      <c r="L179" s="90">
        <v>0</v>
      </c>
      <c r="M179" s="96" t="s">
        <v>37</v>
      </c>
      <c r="N179" s="84"/>
      <c r="O179" s="107">
        <v>1351</v>
      </c>
      <c r="P179" s="156">
        <f t="shared" ref="P179:P180" si="336">ROUND((O179*0.4),0)</f>
        <v>540</v>
      </c>
      <c r="Q179" s="84">
        <f t="shared" ref="Q179:Q180" si="337">IF(O179&gt;0,((O179+500)-P179)+T179,0)</f>
        <v>1383</v>
      </c>
      <c r="R179" s="57">
        <v>41924</v>
      </c>
      <c r="S179" s="89">
        <v>4</v>
      </c>
      <c r="T179" s="89">
        <f t="shared" ref="T179:T180" si="338">IF(U179=$AD$2,47,IF(U179=$AD$1,ROUND(((O179+500)*0.039),0),IF(U179=$AD$3,0)))</f>
        <v>72</v>
      </c>
      <c r="U179" s="87" t="str">
        <f t="shared" ref="U179:U180" si="339">IF(V179=1,$AD$2,IF(V179=2,$AD$1,IF(AND(V179&lt;&gt;1,V179&lt;&gt;20)=TRUE,$AD$3)))</f>
        <v>PAYPAL</v>
      </c>
      <c r="V179" s="97">
        <v>2</v>
      </c>
      <c r="W179" s="90" t="s">
        <v>57</v>
      </c>
      <c r="X179" s="89">
        <f t="shared" ref="X179:X180" si="340">Q179+P179</f>
        <v>1923</v>
      </c>
      <c r="Y179" s="89"/>
      <c r="Z179" s="58">
        <f t="shared" ref="Z179:Z180" si="341">IF(W179=$Z$1,Q179-500,0)</f>
        <v>883</v>
      </c>
      <c r="AA179" s="58">
        <f t="shared" ref="AA179:AA180" si="342">IF(H179&gt;0,130,0)</f>
        <v>130</v>
      </c>
      <c r="AB179" s="58"/>
      <c r="AC179" s="98">
        <f t="shared" ref="AC179:AC180" si="343">(O179+T179)-AA179</f>
        <v>1293</v>
      </c>
      <c r="AD179" s="58"/>
      <c r="AE179" s="58">
        <f t="shared" ref="AE179:AE180" si="344">IF(H179&gt;0,30*F179,0)</f>
        <v>30</v>
      </c>
      <c r="AF179" s="58">
        <f>IF(AG179&gt;0,AG87:AG179,0)</f>
        <v>1263</v>
      </c>
      <c r="AG179" s="58">
        <f t="shared" ref="AG179:AG180" si="345">AC179-AE179</f>
        <v>1263</v>
      </c>
      <c r="AI179">
        <f t="shared" ref="AI179:AI180" si="346">IF(S179=1,O179-T179,0)</f>
        <v>0</v>
      </c>
      <c r="AJ179">
        <f t="shared" ref="AJ179:AJ180" si="347">IF(S179=2,O179-T179,0)</f>
        <v>0</v>
      </c>
      <c r="AK179">
        <f t="shared" ref="AK179:AK180" si="348">IF(S179=3,O179-T179,0)</f>
        <v>0</v>
      </c>
      <c r="AL179">
        <f t="shared" ref="AL179:AL180" si="349">IF(S179=4,O179-T179,0)</f>
        <v>1279</v>
      </c>
      <c r="AN179">
        <f t="shared" ref="AN179:AN180" si="350">IF(S179=1,O179-T179,0)</f>
        <v>0</v>
      </c>
      <c r="AO179">
        <f t="shared" ref="AO179:AO180" si="351">IF(S179=2,O179-T179,0)</f>
        <v>0</v>
      </c>
      <c r="AP179">
        <f t="shared" ref="AP179:AP180" si="352">IF(S179=3,O179-T179,0)</f>
        <v>0</v>
      </c>
      <c r="AQ179">
        <f t="shared" ref="AQ179:AQ180" si="353">IF(S179=4,O179-T179,0)</f>
        <v>1279</v>
      </c>
    </row>
    <row r="180" spans="1:44" x14ac:dyDescent="0.25">
      <c r="B180" s="86" t="s">
        <v>642</v>
      </c>
      <c r="C180" s="86" t="s">
        <v>643</v>
      </c>
      <c r="D180" s="85" t="s">
        <v>630</v>
      </c>
      <c r="E180" s="84">
        <f t="shared" si="334"/>
        <v>0</v>
      </c>
      <c r="F180" s="84">
        <f t="shared" si="335"/>
        <v>1</v>
      </c>
      <c r="G180" s="148" t="s">
        <v>644</v>
      </c>
      <c r="H180" s="85">
        <v>6</v>
      </c>
      <c r="I180" s="85"/>
      <c r="J180" s="84" t="s">
        <v>645</v>
      </c>
      <c r="K180" s="84" t="s">
        <v>56</v>
      </c>
      <c r="L180" s="90">
        <v>0</v>
      </c>
      <c r="M180" s="96" t="s">
        <v>37</v>
      </c>
      <c r="N180" s="84"/>
      <c r="O180" s="107">
        <v>1463</v>
      </c>
      <c r="P180" s="58">
        <f t="shared" si="336"/>
        <v>585</v>
      </c>
      <c r="Q180" s="84">
        <f t="shared" si="337"/>
        <v>1455</v>
      </c>
      <c r="R180" s="57">
        <v>41934</v>
      </c>
      <c r="S180" s="89">
        <v>4</v>
      </c>
      <c r="T180" s="89">
        <f t="shared" si="338"/>
        <v>77</v>
      </c>
      <c r="U180" s="87" t="str">
        <f t="shared" si="339"/>
        <v>PAYPAL</v>
      </c>
      <c r="V180" s="97">
        <v>2</v>
      </c>
      <c r="W180" s="90" t="s">
        <v>57</v>
      </c>
      <c r="X180" s="89">
        <f t="shared" si="340"/>
        <v>2040</v>
      </c>
      <c r="Y180" s="89"/>
      <c r="Z180" s="58">
        <f t="shared" si="341"/>
        <v>955</v>
      </c>
      <c r="AA180" s="58">
        <f t="shared" si="342"/>
        <v>130</v>
      </c>
      <c r="AB180" s="58"/>
      <c r="AC180" s="98">
        <f t="shared" si="343"/>
        <v>1410</v>
      </c>
      <c r="AD180" s="58"/>
      <c r="AE180" s="58">
        <f t="shared" si="344"/>
        <v>30</v>
      </c>
      <c r="AF180" s="58">
        <f>IF(AG180&gt;0,AG94:AG180,0)</f>
        <v>1380</v>
      </c>
      <c r="AG180" s="58">
        <f t="shared" si="345"/>
        <v>1380</v>
      </c>
      <c r="AI180">
        <f t="shared" si="346"/>
        <v>0</v>
      </c>
      <c r="AJ180">
        <f t="shared" si="347"/>
        <v>0</v>
      </c>
      <c r="AK180">
        <f t="shared" si="348"/>
        <v>0</v>
      </c>
      <c r="AL180">
        <f t="shared" si="349"/>
        <v>1386</v>
      </c>
      <c r="AN180">
        <f t="shared" si="350"/>
        <v>0</v>
      </c>
      <c r="AO180">
        <f t="shared" si="351"/>
        <v>0</v>
      </c>
      <c r="AP180">
        <f t="shared" si="352"/>
        <v>0</v>
      </c>
      <c r="AQ180">
        <f t="shared" si="353"/>
        <v>1386</v>
      </c>
    </row>
    <row r="181" spans="1:44" x14ac:dyDescent="0.25">
      <c r="B181" s="103" t="s">
        <v>83</v>
      </c>
      <c r="C181" s="86" t="s">
        <v>444</v>
      </c>
      <c r="D181" s="85" t="s">
        <v>43</v>
      </c>
      <c r="E181" s="84">
        <f t="shared" si="256"/>
        <v>4</v>
      </c>
      <c r="F181" s="84">
        <f t="shared" si="257"/>
        <v>0</v>
      </c>
      <c r="G181" s="108" t="s">
        <v>699</v>
      </c>
      <c r="H181" s="85">
        <v>4</v>
      </c>
      <c r="I181" s="85"/>
      <c r="J181" s="84" t="s">
        <v>64</v>
      </c>
      <c r="K181" s="84" t="s">
        <v>56</v>
      </c>
      <c r="L181" s="90">
        <v>3</v>
      </c>
      <c r="M181" s="96" t="s">
        <v>37</v>
      </c>
      <c r="N181" s="84"/>
      <c r="O181" s="107">
        <v>0</v>
      </c>
      <c r="P181" s="58">
        <f t="shared" si="258"/>
        <v>0</v>
      </c>
      <c r="Q181" s="84">
        <f t="shared" si="259"/>
        <v>0</v>
      </c>
      <c r="R181" s="57"/>
      <c r="S181" s="89">
        <v>4</v>
      </c>
      <c r="T181" s="89">
        <f t="shared" si="260"/>
        <v>0</v>
      </c>
      <c r="U181" s="87" t="str">
        <f t="shared" si="261"/>
        <v>NONE</v>
      </c>
      <c r="V181" s="97"/>
      <c r="W181" s="90"/>
      <c r="X181" s="89">
        <f t="shared" si="262"/>
        <v>0</v>
      </c>
      <c r="Y181" s="89"/>
      <c r="Z181" s="58">
        <f t="shared" si="263"/>
        <v>0</v>
      </c>
      <c r="AA181" s="58">
        <f t="shared" si="264"/>
        <v>130</v>
      </c>
      <c r="AB181" s="58"/>
      <c r="AC181" s="98">
        <f t="shared" si="265"/>
        <v>-130</v>
      </c>
      <c r="AD181" s="58"/>
      <c r="AE181" s="58">
        <f t="shared" si="266"/>
        <v>0</v>
      </c>
      <c r="AF181" s="58">
        <f>IF(AG181&gt;0,AG90:AG181,0)</f>
        <v>0</v>
      </c>
      <c r="AG181" s="58">
        <f t="shared" si="267"/>
        <v>-130</v>
      </c>
      <c r="AI181">
        <f t="shared" si="268"/>
        <v>0</v>
      </c>
      <c r="AJ181">
        <f t="shared" si="269"/>
        <v>0</v>
      </c>
      <c r="AK181">
        <f t="shared" si="270"/>
        <v>0</v>
      </c>
      <c r="AL181">
        <f t="shared" si="271"/>
        <v>0</v>
      </c>
      <c r="AN181">
        <f t="shared" si="272"/>
        <v>0</v>
      </c>
      <c r="AO181">
        <f t="shared" si="273"/>
        <v>0</v>
      </c>
      <c r="AP181">
        <f t="shared" si="274"/>
        <v>0</v>
      </c>
      <c r="AQ181">
        <f t="shared" si="275"/>
        <v>0</v>
      </c>
    </row>
    <row r="182" spans="1:44" x14ac:dyDescent="0.25">
      <c r="B182" s="84"/>
      <c r="D182" s="84"/>
      <c r="E182" s="84">
        <f t="shared" si="256"/>
        <v>0</v>
      </c>
      <c r="F182" s="84">
        <f t="shared" si="257"/>
        <v>1</v>
      </c>
      <c r="G182" s="84"/>
      <c r="H182" s="85"/>
      <c r="I182" s="85"/>
      <c r="J182" s="84"/>
      <c r="K182" s="84"/>
      <c r="L182" s="90"/>
      <c r="M182" s="96"/>
      <c r="N182" s="84"/>
      <c r="O182" s="107"/>
      <c r="P182" s="156">
        <f t="shared" si="258"/>
        <v>0</v>
      </c>
      <c r="Q182" s="84">
        <f t="shared" si="259"/>
        <v>0</v>
      </c>
      <c r="R182" s="57"/>
      <c r="S182" s="89"/>
      <c r="T182" s="89">
        <f t="shared" si="260"/>
        <v>0</v>
      </c>
      <c r="U182" s="87" t="str">
        <f t="shared" si="261"/>
        <v>NONE</v>
      </c>
      <c r="V182" s="97"/>
      <c r="W182" s="90"/>
      <c r="X182" s="89">
        <f t="shared" si="262"/>
        <v>0</v>
      </c>
      <c r="Y182" s="89"/>
      <c r="Z182" s="58">
        <f t="shared" si="263"/>
        <v>0</v>
      </c>
      <c r="AA182" s="58">
        <f t="shared" si="264"/>
        <v>0</v>
      </c>
      <c r="AB182" s="58"/>
      <c r="AC182" s="98">
        <f t="shared" si="265"/>
        <v>0</v>
      </c>
      <c r="AD182" s="58"/>
      <c r="AE182" s="58">
        <f t="shared" si="266"/>
        <v>0</v>
      </c>
      <c r="AF182" s="58">
        <f>IF(AG182&gt;0,AG89:AG182,0)</f>
        <v>0</v>
      </c>
      <c r="AG182" s="58">
        <f t="shared" si="267"/>
        <v>0</v>
      </c>
      <c r="AI182">
        <f t="shared" si="268"/>
        <v>0</v>
      </c>
      <c r="AJ182">
        <f t="shared" si="269"/>
        <v>0</v>
      </c>
      <c r="AK182">
        <f t="shared" si="270"/>
        <v>0</v>
      </c>
      <c r="AL182">
        <f t="shared" si="271"/>
        <v>0</v>
      </c>
      <c r="AN182">
        <f t="shared" si="272"/>
        <v>0</v>
      </c>
      <c r="AO182">
        <f t="shared" si="273"/>
        <v>0</v>
      </c>
      <c r="AP182">
        <f t="shared" si="274"/>
        <v>0</v>
      </c>
      <c r="AQ182">
        <f t="shared" si="275"/>
        <v>0</v>
      </c>
    </row>
    <row r="183" spans="1:44" x14ac:dyDescent="0.25">
      <c r="A183" s="45"/>
      <c r="B183" s="194">
        <f>COUNTIFS(D144:D182,"&lt;&gt;NA")-COUNTIFS(D144:D182,"="&amp;D1)</f>
        <v>24</v>
      </c>
      <c r="C183" s="174" t="s">
        <v>479</v>
      </c>
      <c r="D183" s="46">
        <f>SUM(E144:E182)</f>
        <v>119</v>
      </c>
      <c r="E183" s="46"/>
      <c r="F183" s="46"/>
      <c r="G183" s="63" t="s">
        <v>219</v>
      </c>
      <c r="H183" s="62">
        <f>SUM(H143:H182)-SUM(E144:E182)</f>
        <v>218</v>
      </c>
      <c r="I183" s="62"/>
      <c r="J183" s="61">
        <f>ROUND(H183/7,0)</f>
        <v>31</v>
      </c>
      <c r="K183" s="61" t="s">
        <v>218</v>
      </c>
      <c r="L183" s="63" t="s">
        <v>220</v>
      </c>
      <c r="M183" s="151">
        <f>ROUND(AF183/J183,0)</f>
        <v>1385</v>
      </c>
      <c r="N183" s="45"/>
      <c r="O183" s="82">
        <f>SUM(O144:O182)</f>
        <v>44680</v>
      </c>
      <c r="P183" s="49"/>
      <c r="Q183" s="80">
        <f>Z183</f>
        <v>3273</v>
      </c>
      <c r="R183" s="79" t="s">
        <v>258</v>
      </c>
      <c r="S183" s="126"/>
      <c r="T183" s="73"/>
      <c r="U183" s="48"/>
      <c r="V183" s="48"/>
      <c r="W183" s="47"/>
      <c r="X183" s="49"/>
      <c r="Y183" s="49">
        <f>Z183</f>
        <v>3273</v>
      </c>
      <c r="Z183" s="49">
        <f>SUM(Z144:Z182)</f>
        <v>3273</v>
      </c>
      <c r="AA183" s="49">
        <f>SUM(AA144:AA182)</f>
        <v>4940</v>
      </c>
      <c r="AB183" s="49">
        <f>AA183</f>
        <v>4940</v>
      </c>
      <c r="AC183" s="45"/>
      <c r="AD183" s="49"/>
      <c r="AE183" s="49">
        <f>SUM(AE144:AE182)</f>
        <v>750</v>
      </c>
      <c r="AF183" s="49">
        <f>SUM(AF144:AF182)</f>
        <v>42944</v>
      </c>
      <c r="AG183" s="82">
        <f>SUM(AG144:AG182)</f>
        <v>41094</v>
      </c>
      <c r="AH183" s="45">
        <f>AG183</f>
        <v>41094</v>
      </c>
      <c r="AI183" s="129">
        <f>SUM(AI144:AI182)</f>
        <v>6987</v>
      </c>
      <c r="AJ183" s="129">
        <f>SUM(AJ144:AJ182)</f>
        <v>14479</v>
      </c>
      <c r="AK183" s="129">
        <f>SUM(AK144:AK182)</f>
        <v>6606</v>
      </c>
      <c r="AL183" s="129">
        <f>SUM(AL144:AL182)</f>
        <v>9662</v>
      </c>
      <c r="AM183" s="131">
        <f>SUM(AI183:AL183)</f>
        <v>37734</v>
      </c>
      <c r="AN183" s="129">
        <f>SUM(AN144:AN182)</f>
        <v>6987</v>
      </c>
      <c r="AO183" s="129">
        <f>SUM(AO144:AO182)</f>
        <v>14479</v>
      </c>
      <c r="AP183" s="129">
        <f>SUM(AP144:AP182)</f>
        <v>6606</v>
      </c>
      <c r="AQ183" s="129">
        <f>SUM(AQ144:AQ182)</f>
        <v>9662</v>
      </c>
      <c r="AR183" s="131">
        <f>SUM(AN183:AQ183)</f>
        <v>37734</v>
      </c>
    </row>
    <row r="184" spans="1:44" ht="21" customHeight="1" x14ac:dyDescent="0.35">
      <c r="A184" s="130"/>
      <c r="B184" s="150">
        <v>2015</v>
      </c>
      <c r="C184" s="133"/>
      <c r="D184" s="132"/>
      <c r="E184" s="132"/>
      <c r="F184" s="132"/>
      <c r="G184" s="134"/>
      <c r="H184" s="135"/>
      <c r="I184" s="135"/>
      <c r="J184" s="136"/>
      <c r="K184" s="136"/>
      <c r="L184" s="134"/>
      <c r="M184" s="137"/>
      <c r="N184" s="130"/>
      <c r="O184" s="138"/>
      <c r="P184" s="139"/>
      <c r="Q184" s="140"/>
      <c r="R184" s="141"/>
      <c r="S184" s="142"/>
      <c r="T184" s="143"/>
      <c r="U184" s="144"/>
      <c r="V184" s="144"/>
      <c r="W184" s="145"/>
      <c r="X184" s="139"/>
      <c r="Y184" s="139"/>
      <c r="Z184" s="139"/>
      <c r="AA184" s="139"/>
      <c r="AB184" s="139"/>
      <c r="AC184" s="130"/>
      <c r="AD184" s="139"/>
      <c r="AE184" s="139"/>
      <c r="AF184" s="139"/>
      <c r="AG184" s="138"/>
      <c r="AH184" s="45"/>
      <c r="AI184" s="119">
        <f>ROUNDUP(AI183*0.04,0)</f>
        <v>280</v>
      </c>
      <c r="AJ184" s="119">
        <f t="shared" ref="AJ184:AL184" si="354">ROUNDUP(AJ183*0.04,0)</f>
        <v>580</v>
      </c>
      <c r="AK184" s="119">
        <f t="shared" si="354"/>
        <v>265</v>
      </c>
      <c r="AL184" s="119">
        <f t="shared" si="354"/>
        <v>387</v>
      </c>
      <c r="AM184" s="131">
        <f t="shared" ref="AM184" si="355">SUM(AI184:AL184)</f>
        <v>1512</v>
      </c>
      <c r="AN184" s="119">
        <f>ROUNDUP(AN183*0.06,0)</f>
        <v>420</v>
      </c>
      <c r="AO184" s="119">
        <f t="shared" ref="AO184:AQ184" si="356">ROUNDUP(AO183*0.06,0)</f>
        <v>869</v>
      </c>
      <c r="AP184" s="119">
        <f t="shared" si="356"/>
        <v>397</v>
      </c>
      <c r="AQ184" s="119">
        <f t="shared" si="356"/>
        <v>580</v>
      </c>
      <c r="AR184" s="131">
        <f t="shared" ref="AR184" si="357">SUM(AN184:AQ184)</f>
        <v>2266</v>
      </c>
    </row>
    <row r="185" spans="1:44" s="84" customFormat="1" x14ac:dyDescent="0.25">
      <c r="B185" s="103" t="s">
        <v>83</v>
      </c>
      <c r="C185" s="86" t="s">
        <v>43</v>
      </c>
      <c r="D185" s="84" t="s">
        <v>43</v>
      </c>
      <c r="E185" s="84">
        <f>IF(D185=$B$12,H185,0)</f>
        <v>58</v>
      </c>
      <c r="F185" s="84">
        <f>IF(E185&gt;0,0,1)</f>
        <v>0</v>
      </c>
      <c r="G185" s="108" t="s">
        <v>708</v>
      </c>
      <c r="H185" s="148">
        <v>58</v>
      </c>
      <c r="I185" s="85"/>
      <c r="J185" s="84" t="s">
        <v>64</v>
      </c>
      <c r="K185" s="84" t="s">
        <v>56</v>
      </c>
      <c r="L185" s="90">
        <v>3</v>
      </c>
      <c r="M185" s="96" t="s">
        <v>37</v>
      </c>
      <c r="O185" s="107">
        <v>0</v>
      </c>
      <c r="P185" s="113">
        <f t="shared" ref="P185:P217" si="358">ROUND((O185*0.4),0)</f>
        <v>0</v>
      </c>
      <c r="Q185" s="84">
        <f>IF(O185&gt;0,((O185+500)-P185)+T185,0)</f>
        <v>0</v>
      </c>
      <c r="R185" s="57"/>
      <c r="S185" s="89">
        <v>1</v>
      </c>
      <c r="T185" s="89">
        <f>IF(U185=$AD$2,47,IF(U185=$AD$1,ROUND(((O185+500)*0.039),0),IF(U185=$AD$3,0)))</f>
        <v>0</v>
      </c>
      <c r="U185" s="87" t="str">
        <f>IF(V185=1,$AD$2,IF(V185=2,$AD$1,IF(AND(V185&lt;&gt;1,V185&lt;&gt;20)=TRUE,$AD$3)))</f>
        <v>NONE</v>
      </c>
      <c r="V185" s="97"/>
      <c r="W185" s="90"/>
      <c r="X185" s="89">
        <f>Q185+P185</f>
        <v>0</v>
      </c>
      <c r="Y185" s="89"/>
      <c r="Z185" s="58">
        <f>IF(W185=$Z$1,Q185-500,0)</f>
        <v>0</v>
      </c>
      <c r="AA185" s="58">
        <f>IF(H185&gt;0,130,0)</f>
        <v>130</v>
      </c>
      <c r="AB185" s="58"/>
      <c r="AC185" s="98">
        <f>(O185+T185)-AA185</f>
        <v>-130</v>
      </c>
      <c r="AD185" s="58"/>
      <c r="AE185" s="58">
        <f>IF(H185&gt;0,30*F185,0)</f>
        <v>0</v>
      </c>
      <c r="AF185" s="58">
        <f>IF(AG185&gt;0,AG98:AG185,0)</f>
        <v>0</v>
      </c>
      <c r="AG185" s="58">
        <f t="shared" ref="AG185:AG195" si="359">AC185-AE185</f>
        <v>-130</v>
      </c>
      <c r="AI185">
        <f t="shared" ref="AI185:AI195" si="360">IF(S185=1,O185-T185,0)</f>
        <v>0</v>
      </c>
      <c r="AJ185">
        <f t="shared" ref="AJ185:AJ195" si="361">IF(S185=2,O185-T185,0)</f>
        <v>0</v>
      </c>
      <c r="AK185">
        <f t="shared" ref="AK185:AK195" si="362">IF(S185=3,O185-T185,0)</f>
        <v>0</v>
      </c>
      <c r="AL185">
        <f t="shared" ref="AL185:AL195" si="363">IF(S185=4,O185-T185,0)</f>
        <v>0</v>
      </c>
      <c r="AM185"/>
      <c r="AN185">
        <f t="shared" ref="AN185:AN195" si="364">IF(S185=1,O185-T185,0)</f>
        <v>0</v>
      </c>
      <c r="AO185">
        <f t="shared" ref="AO185:AO195" si="365">IF(S185=2,O185-T185,0)</f>
        <v>0</v>
      </c>
      <c r="AP185">
        <f t="shared" ref="AP185:AP195" si="366">IF(S185=3,O185-T185,0)</f>
        <v>0</v>
      </c>
      <c r="AQ185">
        <f t="shared" ref="AQ185:AQ195" si="367">IF(S185=4,O185-T185,0)</f>
        <v>0</v>
      </c>
    </row>
    <row r="186" spans="1:44" x14ac:dyDescent="0.25">
      <c r="B186" s="103" t="s">
        <v>83</v>
      </c>
      <c r="C186" s="86" t="s">
        <v>43</v>
      </c>
      <c r="D186" s="84" t="s">
        <v>43</v>
      </c>
      <c r="E186" s="85">
        <f t="shared" ref="E186:E188" si="368">IF(D186=$B$12,H186,0)</f>
        <v>0</v>
      </c>
      <c r="F186" s="85">
        <f t="shared" ref="F186:F189" si="369">IF(E186&gt;0,0,1)</f>
        <v>1</v>
      </c>
      <c r="G186" s="85" t="s">
        <v>700</v>
      </c>
      <c r="H186" s="86">
        <v>0</v>
      </c>
      <c r="I186" s="85"/>
      <c r="J186" s="84"/>
      <c r="K186" s="84" t="s">
        <v>56</v>
      </c>
      <c r="L186" s="146">
        <v>3</v>
      </c>
      <c r="M186" s="96" t="s">
        <v>37</v>
      </c>
      <c r="N186" s="85"/>
      <c r="O186" s="107">
        <v>0</v>
      </c>
      <c r="P186" s="113">
        <f t="shared" si="358"/>
        <v>0</v>
      </c>
      <c r="Q186" s="85">
        <f t="shared" ref="Q186:Q189" si="370">IF(O186&gt;0,((O186+500)-P186)+T186,0)</f>
        <v>0</v>
      </c>
      <c r="R186" s="153"/>
      <c r="S186" s="154">
        <v>1</v>
      </c>
      <c r="T186" s="154">
        <f t="shared" ref="T186:T189" si="371">IF(U186=$AD$2,47,IF(U186=$AD$1,ROUND(((O186+500)*0.039),0),IF(U186=$AD$3,0)))</f>
        <v>0</v>
      </c>
      <c r="U186" s="87" t="str">
        <f t="shared" ref="U186:U189" si="372">IF(V186=1,$AD$2,IF(V186=2,$AD$1,IF(AND(V186&lt;&gt;1,V186&lt;&gt;20)=TRUE,$AD$3)))</f>
        <v>NONE</v>
      </c>
      <c r="V186" s="97"/>
      <c r="W186" s="146"/>
      <c r="X186" s="89">
        <f t="shared" ref="X186:X189" si="373">Q186+P186</f>
        <v>0</v>
      </c>
      <c r="Y186" s="154"/>
      <c r="Z186" s="113">
        <f t="shared" ref="Z186:Z189" si="374">IF(W186=$Z$1,Q186-500,0)</f>
        <v>0</v>
      </c>
      <c r="AA186" s="113">
        <f t="shared" ref="AA186:AA189" si="375">IF(H186&gt;0,130,0)</f>
        <v>0</v>
      </c>
      <c r="AB186" s="113"/>
      <c r="AC186" s="155">
        <f t="shared" ref="AC186:AC189" si="376">(O186+T186)-AA186</f>
        <v>0</v>
      </c>
      <c r="AD186" s="113"/>
      <c r="AE186" s="113">
        <f t="shared" ref="AE186:AE189" si="377">IF(H186&gt;0,30*F186,0)</f>
        <v>0</v>
      </c>
      <c r="AF186" s="113">
        <f>IF(AG186&gt;0,AG82:AG186,0)</f>
        <v>0</v>
      </c>
      <c r="AG186" s="113">
        <f t="shared" si="359"/>
        <v>0</v>
      </c>
      <c r="AI186">
        <f t="shared" si="360"/>
        <v>0</v>
      </c>
      <c r="AJ186">
        <f t="shared" si="361"/>
        <v>0</v>
      </c>
      <c r="AK186">
        <f t="shared" si="362"/>
        <v>0</v>
      </c>
      <c r="AL186">
        <f t="shared" si="363"/>
        <v>0</v>
      </c>
      <c r="AN186">
        <f t="shared" si="364"/>
        <v>0</v>
      </c>
      <c r="AO186">
        <f t="shared" si="365"/>
        <v>0</v>
      </c>
      <c r="AP186">
        <f t="shared" si="366"/>
        <v>0</v>
      </c>
      <c r="AQ186">
        <f t="shared" si="367"/>
        <v>0</v>
      </c>
    </row>
    <row r="187" spans="1:44" x14ac:dyDescent="0.25">
      <c r="B187" s="103" t="s">
        <v>83</v>
      </c>
      <c r="C187" s="86" t="s">
        <v>43</v>
      </c>
      <c r="D187" s="84" t="s">
        <v>43</v>
      </c>
      <c r="E187" s="85">
        <f t="shared" si="368"/>
        <v>0</v>
      </c>
      <c r="F187" s="85">
        <f t="shared" si="369"/>
        <v>1</v>
      </c>
      <c r="G187" s="148" t="s">
        <v>702</v>
      </c>
      <c r="H187" s="86">
        <v>0</v>
      </c>
      <c r="I187" s="85"/>
      <c r="J187" s="84"/>
      <c r="K187" s="84" t="s">
        <v>56</v>
      </c>
      <c r="L187" s="146">
        <v>3</v>
      </c>
      <c r="M187" s="96" t="s">
        <v>37</v>
      </c>
      <c r="N187" s="85"/>
      <c r="O187" s="107">
        <v>0</v>
      </c>
      <c r="P187" s="113">
        <f t="shared" ref="P187:P189" si="378">ROUND((O187*0.4),0)</f>
        <v>0</v>
      </c>
      <c r="Q187" s="85">
        <f t="shared" si="370"/>
        <v>0</v>
      </c>
      <c r="R187" s="84"/>
      <c r="S187" s="154">
        <v>1</v>
      </c>
      <c r="T187" s="154">
        <f t="shared" si="371"/>
        <v>0</v>
      </c>
      <c r="U187" s="87" t="str">
        <f t="shared" si="372"/>
        <v>NONE</v>
      </c>
      <c r="V187" s="97"/>
      <c r="W187" s="146"/>
      <c r="X187" s="89">
        <f t="shared" si="373"/>
        <v>0</v>
      </c>
      <c r="Y187" s="154"/>
      <c r="Z187" s="113">
        <f t="shared" si="374"/>
        <v>0</v>
      </c>
      <c r="AA187" s="113">
        <f t="shared" si="375"/>
        <v>0</v>
      </c>
      <c r="AB187" s="113"/>
      <c r="AC187" s="155">
        <f t="shared" si="376"/>
        <v>0</v>
      </c>
      <c r="AD187" s="113"/>
      <c r="AE187" s="113">
        <f t="shared" si="377"/>
        <v>0</v>
      </c>
      <c r="AF187" s="113">
        <f>IF(AG187&gt;0,AG83:AG195,0)</f>
        <v>0</v>
      </c>
      <c r="AG187" s="113">
        <f t="shared" si="359"/>
        <v>0</v>
      </c>
      <c r="AI187">
        <f t="shared" si="360"/>
        <v>0</v>
      </c>
      <c r="AJ187">
        <f t="shared" si="361"/>
        <v>0</v>
      </c>
      <c r="AK187">
        <f t="shared" si="362"/>
        <v>0</v>
      </c>
      <c r="AL187">
        <f t="shared" si="363"/>
        <v>0</v>
      </c>
      <c r="AN187">
        <f t="shared" si="364"/>
        <v>0</v>
      </c>
      <c r="AO187">
        <f t="shared" si="365"/>
        <v>0</v>
      </c>
      <c r="AP187">
        <f t="shared" si="366"/>
        <v>0</v>
      </c>
      <c r="AQ187">
        <f t="shared" si="367"/>
        <v>0</v>
      </c>
    </row>
    <row r="188" spans="1:44" x14ac:dyDescent="0.25">
      <c r="B188" s="86" t="s">
        <v>714</v>
      </c>
      <c r="C188" s="84" t="s">
        <v>715</v>
      </c>
      <c r="D188" s="84" t="s">
        <v>630</v>
      </c>
      <c r="E188" s="85">
        <f t="shared" si="368"/>
        <v>0</v>
      </c>
      <c r="F188" s="85">
        <f t="shared" si="369"/>
        <v>1</v>
      </c>
      <c r="G188" s="85" t="s">
        <v>716</v>
      </c>
      <c r="H188" s="86">
        <v>11</v>
      </c>
      <c r="I188" s="85"/>
      <c r="J188" s="84" t="s">
        <v>629</v>
      </c>
      <c r="K188" s="84" t="s">
        <v>56</v>
      </c>
      <c r="L188" s="146">
        <v>0</v>
      </c>
      <c r="M188" s="96" t="s">
        <v>37</v>
      </c>
      <c r="N188" s="85"/>
      <c r="O188" s="107">
        <v>2892</v>
      </c>
      <c r="P188" s="113">
        <f t="shared" si="378"/>
        <v>1157</v>
      </c>
      <c r="Q188" s="85">
        <f t="shared" si="370"/>
        <v>2367</v>
      </c>
      <c r="R188" s="153" t="s">
        <v>717</v>
      </c>
      <c r="S188" s="154">
        <v>1</v>
      </c>
      <c r="T188" s="154">
        <f t="shared" si="371"/>
        <v>132</v>
      </c>
      <c r="U188" s="87" t="str">
        <f t="shared" si="372"/>
        <v>PAYPAL</v>
      </c>
      <c r="V188" s="97">
        <v>2</v>
      </c>
      <c r="W188" s="90" t="s">
        <v>57</v>
      </c>
      <c r="X188" s="89">
        <f t="shared" si="373"/>
        <v>3524</v>
      </c>
      <c r="Y188" s="154"/>
      <c r="Z188" s="113">
        <f t="shared" si="374"/>
        <v>1867</v>
      </c>
      <c r="AA188" s="113">
        <f t="shared" si="375"/>
        <v>130</v>
      </c>
      <c r="AB188" s="113"/>
      <c r="AC188" s="155">
        <f t="shared" si="376"/>
        <v>2894</v>
      </c>
      <c r="AD188" s="113"/>
      <c r="AE188" s="113">
        <f t="shared" si="377"/>
        <v>30</v>
      </c>
      <c r="AF188" s="113">
        <f>IF(AG188&gt;0,AG84:AG188,0)</f>
        <v>2864</v>
      </c>
      <c r="AG188" s="113">
        <f t="shared" si="359"/>
        <v>2864</v>
      </c>
      <c r="AI188">
        <f t="shared" si="360"/>
        <v>2760</v>
      </c>
      <c r="AJ188">
        <f t="shared" si="361"/>
        <v>0</v>
      </c>
      <c r="AK188">
        <f t="shared" si="362"/>
        <v>0</v>
      </c>
      <c r="AL188">
        <f t="shared" si="363"/>
        <v>0</v>
      </c>
      <c r="AN188">
        <f t="shared" si="364"/>
        <v>2760</v>
      </c>
      <c r="AO188">
        <f t="shared" si="365"/>
        <v>0</v>
      </c>
      <c r="AP188">
        <f t="shared" si="366"/>
        <v>0</v>
      </c>
      <c r="AQ188">
        <f t="shared" si="367"/>
        <v>0</v>
      </c>
    </row>
    <row r="189" spans="1:44" x14ac:dyDescent="0.25">
      <c r="B189" s="103" t="s">
        <v>83</v>
      </c>
      <c r="C189" s="86" t="s">
        <v>43</v>
      </c>
      <c r="D189" s="84" t="s">
        <v>43</v>
      </c>
      <c r="E189" s="84">
        <f>IF(D148=$B$12,H189,0)</f>
        <v>0</v>
      </c>
      <c r="F189" s="84">
        <f t="shared" si="369"/>
        <v>1</v>
      </c>
      <c r="G189" s="148" t="s">
        <v>701</v>
      </c>
      <c r="H189" s="86">
        <v>0</v>
      </c>
      <c r="I189" s="85"/>
      <c r="J189" s="84"/>
      <c r="K189" s="84" t="s">
        <v>56</v>
      </c>
      <c r="L189" s="90">
        <v>3</v>
      </c>
      <c r="M189" s="96" t="s">
        <v>37</v>
      </c>
      <c r="N189" s="84"/>
      <c r="O189" s="107">
        <v>0</v>
      </c>
      <c r="P189" s="113">
        <f t="shared" si="378"/>
        <v>0</v>
      </c>
      <c r="Q189" s="85">
        <f t="shared" si="370"/>
        <v>0</v>
      </c>
      <c r="R189" s="57"/>
      <c r="S189" s="89">
        <v>1</v>
      </c>
      <c r="T189" s="89">
        <f t="shared" si="371"/>
        <v>0</v>
      </c>
      <c r="U189" s="87" t="str">
        <f t="shared" si="372"/>
        <v>NONE</v>
      </c>
      <c r="V189" s="97"/>
      <c r="W189" s="90"/>
      <c r="X189" s="89">
        <f t="shared" si="373"/>
        <v>0</v>
      </c>
      <c r="Y189" s="89"/>
      <c r="Z189" s="58">
        <f t="shared" si="374"/>
        <v>0</v>
      </c>
      <c r="AA189" s="58">
        <f t="shared" si="375"/>
        <v>0</v>
      </c>
      <c r="AB189" s="58"/>
      <c r="AC189" s="98">
        <f t="shared" si="376"/>
        <v>0</v>
      </c>
      <c r="AD189" s="58"/>
      <c r="AE189" s="58">
        <f t="shared" si="377"/>
        <v>0</v>
      </c>
      <c r="AF189" s="58">
        <f>IF(AG189&gt;0,AG86:AG189,0)</f>
        <v>0</v>
      </c>
      <c r="AG189" s="58">
        <f t="shared" si="359"/>
        <v>0</v>
      </c>
      <c r="AI189">
        <f t="shared" si="360"/>
        <v>0</v>
      </c>
      <c r="AJ189">
        <f t="shared" si="361"/>
        <v>0</v>
      </c>
      <c r="AK189">
        <f t="shared" si="362"/>
        <v>0</v>
      </c>
      <c r="AL189">
        <f t="shared" si="363"/>
        <v>0</v>
      </c>
      <c r="AN189">
        <f t="shared" si="364"/>
        <v>0</v>
      </c>
      <c r="AO189">
        <f t="shared" si="365"/>
        <v>0</v>
      </c>
      <c r="AP189">
        <f t="shared" si="366"/>
        <v>0</v>
      </c>
      <c r="AQ189">
        <f t="shared" si="367"/>
        <v>0</v>
      </c>
    </row>
    <row r="190" spans="1:44" x14ac:dyDescent="0.25">
      <c r="B190" s="148" t="s">
        <v>663</v>
      </c>
      <c r="C190" s="183" t="s">
        <v>662</v>
      </c>
      <c r="D190" s="84" t="s">
        <v>630</v>
      </c>
      <c r="E190" s="84">
        <f t="shared" ref="E190" si="379">IF(D190=$B$12,H190,0)</f>
        <v>0</v>
      </c>
      <c r="F190" s="84">
        <f t="shared" ref="F190" si="380">IF(E190&gt;0,0,1)</f>
        <v>1</v>
      </c>
      <c r="G190" s="148" t="s">
        <v>661</v>
      </c>
      <c r="H190" s="86">
        <v>19</v>
      </c>
      <c r="I190" s="85"/>
      <c r="J190" s="84" t="s">
        <v>104</v>
      </c>
      <c r="K190" s="84" t="s">
        <v>56</v>
      </c>
      <c r="L190" s="90">
        <v>0</v>
      </c>
      <c r="M190" s="96" t="s">
        <v>37</v>
      </c>
      <c r="N190" s="84"/>
      <c r="O190" s="107">
        <v>4470</v>
      </c>
      <c r="P190" s="113">
        <f t="shared" ref="P190" si="381">ROUND((O190*0.4),0)</f>
        <v>1788</v>
      </c>
      <c r="Q190" s="85">
        <f t="shared" ref="Q190" si="382">IF(O190&gt;0,((O190+500)-P190)+T190,0)</f>
        <v>3376</v>
      </c>
      <c r="R190" s="57" t="s">
        <v>664</v>
      </c>
      <c r="S190" s="89">
        <v>1</v>
      </c>
      <c r="T190" s="89">
        <f t="shared" ref="T190" si="383">IF(U190=$AD$2,47,IF(U190=$AD$1,ROUND(((O190+500)*0.039),0),IF(U190=$AD$3,0)))</f>
        <v>194</v>
      </c>
      <c r="U190" s="87" t="str">
        <f t="shared" ref="U190" si="384">IF(V190=1,$AD$2,IF(V190=2,$AD$1,IF(AND(V190&lt;&gt;1,V190&lt;&gt;20)=TRUE,$AD$3)))</f>
        <v>PAYPAL</v>
      </c>
      <c r="V190" s="97">
        <v>2</v>
      </c>
      <c r="W190" s="90" t="s">
        <v>57</v>
      </c>
      <c r="X190" s="89">
        <f t="shared" ref="X190" si="385">Q190+P190</f>
        <v>5164</v>
      </c>
      <c r="Y190" s="89"/>
      <c r="Z190" s="58">
        <f t="shared" ref="Z190" si="386">IF(W190=$Z$1,Q190-500,0)</f>
        <v>2876</v>
      </c>
      <c r="AA190" s="58">
        <f t="shared" ref="AA190" si="387">IF(H190&gt;0,130,0)</f>
        <v>130</v>
      </c>
      <c r="AB190" s="58"/>
      <c r="AC190" s="98">
        <f t="shared" ref="AC190" si="388">(O190+T190)-AA190</f>
        <v>4534</v>
      </c>
      <c r="AD190" s="58"/>
      <c r="AE190" s="58">
        <f t="shared" ref="AE190" si="389">IF(H190&gt;0,30*F190,0)</f>
        <v>30</v>
      </c>
      <c r="AF190" s="58">
        <f>IF(AG190&gt;0,AG94:AG190,0)</f>
        <v>4504</v>
      </c>
      <c r="AG190" s="58">
        <f t="shared" si="359"/>
        <v>4504</v>
      </c>
      <c r="AI190">
        <f t="shared" si="360"/>
        <v>4276</v>
      </c>
      <c r="AJ190">
        <f t="shared" si="361"/>
        <v>0</v>
      </c>
      <c r="AK190">
        <f t="shared" si="362"/>
        <v>0</v>
      </c>
      <c r="AL190">
        <f t="shared" si="363"/>
        <v>0</v>
      </c>
      <c r="AN190">
        <f t="shared" si="364"/>
        <v>4276</v>
      </c>
      <c r="AO190">
        <f t="shared" si="365"/>
        <v>0</v>
      </c>
      <c r="AP190">
        <f t="shared" si="366"/>
        <v>0</v>
      </c>
      <c r="AQ190">
        <f t="shared" si="367"/>
        <v>0</v>
      </c>
    </row>
    <row r="191" spans="1:44" x14ac:dyDescent="0.25">
      <c r="B191" s="148" t="s">
        <v>519</v>
      </c>
      <c r="C191" s="84" t="s">
        <v>520</v>
      </c>
      <c r="D191" s="84" t="s">
        <v>376</v>
      </c>
      <c r="E191" s="84">
        <f>IF(D191=$B$12,H191,0)</f>
        <v>0</v>
      </c>
      <c r="F191" s="84">
        <f>IF(E191&gt;0,0,1)</f>
        <v>1</v>
      </c>
      <c r="G191" s="84" t="s">
        <v>518</v>
      </c>
      <c r="H191" s="85">
        <v>9</v>
      </c>
      <c r="I191" s="85"/>
      <c r="J191" s="84" t="s">
        <v>552</v>
      </c>
      <c r="K191" s="84" t="s">
        <v>56</v>
      </c>
      <c r="L191" s="90">
        <v>0</v>
      </c>
      <c r="M191" s="96" t="s">
        <v>37</v>
      </c>
      <c r="N191" s="84"/>
      <c r="O191" s="107">
        <v>1925</v>
      </c>
      <c r="P191" s="58">
        <f>ROUND((O191*0.4),0)</f>
        <v>770</v>
      </c>
      <c r="Q191" s="84">
        <f>IF(O191&gt;0,((O191+500)-P191)+T191,0)</f>
        <v>1750</v>
      </c>
      <c r="R191" s="57" t="s">
        <v>521</v>
      </c>
      <c r="S191" s="89">
        <v>1</v>
      </c>
      <c r="T191" s="89">
        <f>IF(U191=$AD$2,47,IF(U191=$AD$1,ROUND(((O191+500)*0.039),0),IF(U191=$AD$3,0)))</f>
        <v>95</v>
      </c>
      <c r="U191" s="87" t="str">
        <f>IF(V191=1,$AD$2,IF(V191=2,$AD$1,IF(AND(V191&lt;&gt;1,V191&lt;&gt;20)=TRUE,$AD$3)))</f>
        <v>PAYPAL</v>
      </c>
      <c r="V191" s="97">
        <v>2</v>
      </c>
      <c r="W191" s="90" t="s">
        <v>57</v>
      </c>
      <c r="X191" s="89">
        <f>Q191+P191</f>
        <v>2520</v>
      </c>
      <c r="Y191" s="89"/>
      <c r="Z191" s="58">
        <f>IF(W191=$Z$1,Q191-500,0)</f>
        <v>1250</v>
      </c>
      <c r="AA191" s="58">
        <f>IF(H191&gt;0,130,0)</f>
        <v>130</v>
      </c>
      <c r="AB191" s="58"/>
      <c r="AC191" s="98">
        <f>(O191+T191)-AA191</f>
        <v>1890</v>
      </c>
      <c r="AD191" s="58"/>
      <c r="AE191" s="58">
        <f>IF(H191&gt;0,30*F191,0)</f>
        <v>30</v>
      </c>
      <c r="AF191" s="58">
        <f>IF(AG191&gt;0,AG73:AG191,0)</f>
        <v>1860</v>
      </c>
      <c r="AG191" s="58">
        <f>AC191-AE191</f>
        <v>1860</v>
      </c>
      <c r="AH191" s="84"/>
      <c r="AI191" s="84">
        <f>IF(S191=1,O191-T191,0)</f>
        <v>1830</v>
      </c>
      <c r="AJ191">
        <f>IF(S191=2,O191-T191,0)</f>
        <v>0</v>
      </c>
      <c r="AK191">
        <f>IF(S191=3,O191-T191,0)</f>
        <v>0</v>
      </c>
      <c r="AL191">
        <f>IF(S191=4,O191-T191,0)</f>
        <v>0</v>
      </c>
      <c r="AN191">
        <f>IF(S191=1,O191-T191,0)</f>
        <v>1830</v>
      </c>
      <c r="AO191">
        <f>IF(S191=2,O191-T191,0)</f>
        <v>0</v>
      </c>
      <c r="AP191">
        <f>IF(S191=3,O191-T191,0)</f>
        <v>0</v>
      </c>
      <c r="AQ191">
        <f>IF(S191=4,O191-T191,0)</f>
        <v>0</v>
      </c>
    </row>
    <row r="192" spans="1:44" x14ac:dyDescent="0.25">
      <c r="B192" s="86" t="s">
        <v>684</v>
      </c>
      <c r="C192" s="84" t="s">
        <v>685</v>
      </c>
      <c r="D192" s="84" t="s">
        <v>630</v>
      </c>
      <c r="E192" s="85">
        <f t="shared" ref="E192" si="390">IF(D192=$B$12,H192,0)</f>
        <v>0</v>
      </c>
      <c r="F192" s="85">
        <f t="shared" ref="F192" si="391">IF(E192&gt;0,0,1)</f>
        <v>1</v>
      </c>
      <c r="G192" s="85" t="s">
        <v>686</v>
      </c>
      <c r="H192" s="86">
        <v>7</v>
      </c>
      <c r="I192" s="85"/>
      <c r="J192" s="84" t="s">
        <v>99</v>
      </c>
      <c r="K192" s="84" t="s">
        <v>56</v>
      </c>
      <c r="L192" s="146">
        <v>0</v>
      </c>
      <c r="M192" s="96" t="s">
        <v>37</v>
      </c>
      <c r="N192" s="85"/>
      <c r="O192" s="107">
        <v>1768</v>
      </c>
      <c r="P192" s="113">
        <f t="shared" ref="P192" si="392">ROUND((O192*0.4),0)</f>
        <v>707</v>
      </c>
      <c r="Q192" s="85">
        <f t="shared" ref="Q192" si="393">IF(O192&gt;0,((O192+500)-P192)+T192,0)</f>
        <v>1649</v>
      </c>
      <c r="R192" s="57" t="s">
        <v>687</v>
      </c>
      <c r="S192" s="154">
        <v>1</v>
      </c>
      <c r="T192" s="154">
        <f t="shared" ref="T192" si="394">IF(U192=$AD$2,47,IF(U192=$AD$1,ROUND(((O192+500)*0.039),0),IF(U192=$AD$3,0)))</f>
        <v>88</v>
      </c>
      <c r="U192" s="87" t="str">
        <f t="shared" ref="U192" si="395">IF(V192=1,$AD$2,IF(V192=2,$AD$1,IF(AND(V192&lt;&gt;1,V192&lt;&gt;20)=TRUE,$AD$3)))</f>
        <v>PAYPAL</v>
      </c>
      <c r="V192" s="97">
        <v>2</v>
      </c>
      <c r="W192" s="90" t="s">
        <v>57</v>
      </c>
      <c r="X192" s="89">
        <f t="shared" ref="X192" si="396">Q192+P192</f>
        <v>2356</v>
      </c>
      <c r="Y192" s="154"/>
      <c r="Z192" s="113">
        <f t="shared" ref="Z192" si="397">IF(W192=$Z$1,Q192-500,0)</f>
        <v>1149</v>
      </c>
      <c r="AA192" s="113">
        <f t="shared" ref="AA192" si="398">IF(H192&gt;0,130,0)</f>
        <v>130</v>
      </c>
      <c r="AB192" s="113"/>
      <c r="AC192" s="155">
        <f t="shared" ref="AC192" si="399">(O192+T192)-AA192</f>
        <v>1726</v>
      </c>
      <c r="AD192" s="113"/>
      <c r="AE192" s="113">
        <f t="shared" ref="AE192" si="400">IF(H192&gt;0,30*F192,0)</f>
        <v>30</v>
      </c>
      <c r="AF192" s="113">
        <f>IF(AG192&gt;0,AG90:AG205,0)</f>
        <v>1696</v>
      </c>
      <c r="AG192" s="113">
        <f t="shared" ref="AG192" si="401">AC192-AE192</f>
        <v>1696</v>
      </c>
      <c r="AI192">
        <f t="shared" ref="AI192" si="402">IF(S192=1,O192-T192,0)</f>
        <v>1680</v>
      </c>
      <c r="AJ192">
        <f t="shared" ref="AJ192" si="403">IF(S192=2,O192-T192,0)</f>
        <v>0</v>
      </c>
      <c r="AK192">
        <f t="shared" ref="AK192" si="404">IF(S192=3,O192-T192,0)</f>
        <v>0</v>
      </c>
      <c r="AL192">
        <f t="shared" ref="AL192" si="405">IF(S192=4,O192-T192,0)</f>
        <v>0</v>
      </c>
      <c r="AN192">
        <f t="shared" ref="AN192" si="406">IF(S192=1,O192-T192,0)</f>
        <v>1680</v>
      </c>
      <c r="AO192">
        <f t="shared" ref="AO192" si="407">IF(S192=2,O192-T192,0)</f>
        <v>0</v>
      </c>
      <c r="AP192">
        <f t="shared" ref="AP192" si="408">IF(S192=3,O192-T192,0)</f>
        <v>0</v>
      </c>
      <c r="AQ192">
        <f t="shared" ref="AQ192" si="409">IF(S192=4,O192-T192,0)</f>
        <v>0</v>
      </c>
    </row>
    <row r="193" spans="2:43" x14ac:dyDescent="0.25">
      <c r="B193" s="103" t="s">
        <v>83</v>
      </c>
      <c r="C193" s="86" t="s">
        <v>43</v>
      </c>
      <c r="D193" s="84" t="s">
        <v>43</v>
      </c>
      <c r="E193" s="85">
        <f t="shared" ref="E193:E195" si="410">IF(D193=$B$12,H193,0)</f>
        <v>9</v>
      </c>
      <c r="F193" s="85">
        <f t="shared" ref="F193:F195" si="411">IF(E193&gt;0,0,1)</f>
        <v>0</v>
      </c>
      <c r="G193" s="169" t="s">
        <v>665</v>
      </c>
      <c r="H193" s="86">
        <v>9</v>
      </c>
      <c r="I193" s="88"/>
      <c r="J193" s="84" t="s">
        <v>64</v>
      </c>
      <c r="K193" s="60" t="s">
        <v>56</v>
      </c>
      <c r="L193" s="60">
        <v>3</v>
      </c>
      <c r="M193" s="96" t="s">
        <v>37</v>
      </c>
      <c r="N193" s="84"/>
      <c r="O193" s="163">
        <v>0</v>
      </c>
      <c r="P193" s="113">
        <f t="shared" si="358"/>
        <v>0</v>
      </c>
      <c r="Q193" s="85">
        <f>IF(O193&gt;0,((O193+500)-P193)+T193,0)</f>
        <v>0</v>
      </c>
      <c r="R193" s="57"/>
      <c r="S193" s="154"/>
      <c r="T193" s="154">
        <v>0</v>
      </c>
      <c r="U193" s="87" t="str">
        <f>IF(V193=1,$AD$2,IF(V193=2,$AD$1,IF(AND(V193&lt;&gt;1,V193&lt;&gt;20)=TRUE,$AD$3)))</f>
        <v>NONE</v>
      </c>
      <c r="V193" s="97"/>
      <c r="W193" s="146"/>
      <c r="X193" s="89">
        <f t="shared" ref="X193:X217" si="412">Q193+P193</f>
        <v>0</v>
      </c>
      <c r="Y193" s="154"/>
      <c r="Z193" s="113">
        <f>IF(W193=$Z$1,Q193-500,0)</f>
        <v>0</v>
      </c>
      <c r="AA193" s="113">
        <f>IF(H193&gt;0,130,0)</f>
        <v>130</v>
      </c>
      <c r="AB193" s="113"/>
      <c r="AC193" s="155">
        <f>(O193+T193)-AA193</f>
        <v>-130</v>
      </c>
      <c r="AD193" s="113"/>
      <c r="AE193" s="113">
        <f>IF(H193&gt;0,30*F193,0)</f>
        <v>0</v>
      </c>
      <c r="AF193" s="113">
        <f>IF(AG193&gt;0,AG98:AG193,0)</f>
        <v>0</v>
      </c>
      <c r="AG193" s="113">
        <f t="shared" si="359"/>
        <v>-130</v>
      </c>
      <c r="AI193">
        <f t="shared" si="360"/>
        <v>0</v>
      </c>
      <c r="AJ193">
        <f t="shared" si="361"/>
        <v>0</v>
      </c>
      <c r="AK193">
        <f t="shared" si="362"/>
        <v>0</v>
      </c>
      <c r="AL193">
        <f t="shared" si="363"/>
        <v>0</v>
      </c>
      <c r="AN193">
        <f t="shared" si="364"/>
        <v>0</v>
      </c>
      <c r="AO193">
        <f t="shared" si="365"/>
        <v>0</v>
      </c>
      <c r="AP193">
        <f t="shared" si="366"/>
        <v>0</v>
      </c>
      <c r="AQ193">
        <f t="shared" si="367"/>
        <v>0</v>
      </c>
    </row>
    <row r="194" spans="2:43" x14ac:dyDescent="0.25">
      <c r="B194" s="84" t="s">
        <v>680</v>
      </c>
      <c r="C194" s="84" t="s">
        <v>61</v>
      </c>
      <c r="D194" s="84" t="s">
        <v>62</v>
      </c>
      <c r="E194" s="85">
        <f t="shared" si="410"/>
        <v>0</v>
      </c>
      <c r="F194" s="85">
        <f t="shared" si="411"/>
        <v>1</v>
      </c>
      <c r="G194" s="85" t="s">
        <v>681</v>
      </c>
      <c r="H194" s="86">
        <v>7</v>
      </c>
      <c r="I194" s="85"/>
      <c r="J194" s="84" t="s">
        <v>546</v>
      </c>
      <c r="K194" s="84" t="s">
        <v>56</v>
      </c>
      <c r="L194" s="146">
        <v>0</v>
      </c>
      <c r="M194" s="96" t="s">
        <v>37</v>
      </c>
      <c r="N194" s="85"/>
      <c r="O194" s="199">
        <v>1440</v>
      </c>
      <c r="P194" s="113">
        <v>500</v>
      </c>
      <c r="Q194" s="85">
        <f>IF(O194&gt;0,((O194+500)-P194)+T194,0)</f>
        <v>1516</v>
      </c>
      <c r="R194" s="153" t="s">
        <v>682</v>
      </c>
      <c r="S194" s="154"/>
      <c r="T194" s="154">
        <f t="shared" ref="T194:T195" si="413">IF(U194=$AD$2,47,IF(U194=$AD$1,ROUND(((O194+500)*0.039),0),IF(U194=$AD$3,0)))</f>
        <v>76</v>
      </c>
      <c r="U194" s="87" t="str">
        <f t="shared" ref="U194:U195" si="414">IF(V194=1,$AD$2,IF(V194=2,$AD$1,IF(AND(V194&lt;&gt;1,V194&lt;&gt;20)=TRUE,$AD$3)))</f>
        <v>PAYPAL</v>
      </c>
      <c r="V194" s="97">
        <v>2</v>
      </c>
      <c r="W194" s="146" t="s">
        <v>57</v>
      </c>
      <c r="X194" s="89">
        <f t="shared" ref="X194:X195" si="415">Q194+P194</f>
        <v>2016</v>
      </c>
      <c r="Y194" s="154"/>
      <c r="Z194" s="113">
        <f t="shared" ref="Z194:Z195" si="416">IF(W194=$Z$1,Q194-500,0)</f>
        <v>1016</v>
      </c>
      <c r="AA194" s="113">
        <f t="shared" ref="AA194:AA195" si="417">IF(H194&gt;0,130,0)</f>
        <v>130</v>
      </c>
      <c r="AB194" s="113"/>
      <c r="AC194" s="155">
        <f t="shared" ref="AC194:AC195" si="418">(O194+T194)-AA194</f>
        <v>1386</v>
      </c>
      <c r="AD194" s="113"/>
      <c r="AE194" s="113">
        <f t="shared" ref="AE194:AE195" si="419">IF(H194&gt;0,30*F194,0)</f>
        <v>30</v>
      </c>
      <c r="AF194" s="113">
        <f>IF(AG194&gt;0,AG93:AG194,0)</f>
        <v>1356</v>
      </c>
      <c r="AG194" s="113">
        <f t="shared" si="359"/>
        <v>1356</v>
      </c>
      <c r="AI194">
        <f t="shared" si="360"/>
        <v>0</v>
      </c>
      <c r="AJ194">
        <f t="shared" si="361"/>
        <v>0</v>
      </c>
      <c r="AK194">
        <f t="shared" si="362"/>
        <v>0</v>
      </c>
      <c r="AL194">
        <f t="shared" si="363"/>
        <v>0</v>
      </c>
      <c r="AN194">
        <f t="shared" si="364"/>
        <v>0</v>
      </c>
      <c r="AO194">
        <f t="shared" si="365"/>
        <v>0</v>
      </c>
      <c r="AP194">
        <f t="shared" si="366"/>
        <v>0</v>
      </c>
      <c r="AQ194">
        <f t="shared" si="367"/>
        <v>0</v>
      </c>
    </row>
    <row r="195" spans="2:43" x14ac:dyDescent="0.25">
      <c r="B195" s="103" t="s">
        <v>83</v>
      </c>
      <c r="C195" s="86" t="s">
        <v>43</v>
      </c>
      <c r="D195" s="84" t="s">
        <v>43</v>
      </c>
      <c r="E195" s="85">
        <f t="shared" si="410"/>
        <v>4</v>
      </c>
      <c r="F195" s="85">
        <f t="shared" si="411"/>
        <v>0</v>
      </c>
      <c r="G195" s="104" t="s">
        <v>683</v>
      </c>
      <c r="H195" s="86">
        <v>4</v>
      </c>
      <c r="I195" s="85"/>
      <c r="J195" s="84" t="s">
        <v>64</v>
      </c>
      <c r="K195" s="84" t="s">
        <v>56</v>
      </c>
      <c r="L195" s="146">
        <v>3</v>
      </c>
      <c r="M195" s="96" t="s">
        <v>37</v>
      </c>
      <c r="N195" s="85"/>
      <c r="O195" s="107">
        <v>0</v>
      </c>
      <c r="P195" s="113">
        <f t="shared" ref="P195" si="420">ROUND((O195*0.4),0)</f>
        <v>0</v>
      </c>
      <c r="Q195" s="85">
        <f t="shared" ref="Q195" si="421">IF(O195&gt;0,((O195+500)-P195)+T195,0)</f>
        <v>0</v>
      </c>
      <c r="R195" s="84"/>
      <c r="S195" s="154"/>
      <c r="T195" s="154">
        <f t="shared" si="413"/>
        <v>0</v>
      </c>
      <c r="U195" s="87" t="str">
        <f t="shared" si="414"/>
        <v>NONE</v>
      </c>
      <c r="V195" s="97"/>
      <c r="W195" s="146"/>
      <c r="X195" s="89">
        <f t="shared" si="415"/>
        <v>0</v>
      </c>
      <c r="Y195" s="154"/>
      <c r="Z195" s="113">
        <f t="shared" si="416"/>
        <v>0</v>
      </c>
      <c r="AA195" s="113">
        <f t="shared" si="417"/>
        <v>130</v>
      </c>
      <c r="AB195" s="113"/>
      <c r="AC195" s="155">
        <f t="shared" si="418"/>
        <v>-130</v>
      </c>
      <c r="AD195" s="113"/>
      <c r="AE195" s="113">
        <f t="shared" si="419"/>
        <v>0</v>
      </c>
      <c r="AF195" s="113">
        <f>IF(AG195&gt;0,AG93:AG206,0)</f>
        <v>0</v>
      </c>
      <c r="AG195" s="113">
        <f t="shared" si="359"/>
        <v>-130</v>
      </c>
      <c r="AI195">
        <f t="shared" si="360"/>
        <v>0</v>
      </c>
      <c r="AJ195">
        <f t="shared" si="361"/>
        <v>0</v>
      </c>
      <c r="AK195">
        <f t="shared" si="362"/>
        <v>0</v>
      </c>
      <c r="AL195">
        <f t="shared" si="363"/>
        <v>0</v>
      </c>
      <c r="AN195">
        <f t="shared" si="364"/>
        <v>0</v>
      </c>
      <c r="AO195">
        <f t="shared" si="365"/>
        <v>0</v>
      </c>
      <c r="AP195">
        <f t="shared" si="366"/>
        <v>0</v>
      </c>
      <c r="AQ195">
        <f t="shared" si="367"/>
        <v>0</v>
      </c>
    </row>
    <row r="196" spans="2:43" x14ac:dyDescent="0.25">
      <c r="B196" s="86" t="s">
        <v>672</v>
      </c>
      <c r="C196" t="s">
        <v>300</v>
      </c>
      <c r="D196" s="84" t="s">
        <v>31</v>
      </c>
      <c r="E196" s="85">
        <f t="shared" ref="E196" si="422">IF(D196=$B$12,H196,0)</f>
        <v>0</v>
      </c>
      <c r="F196" s="85">
        <f t="shared" ref="F196" si="423">IF(E196&gt;0,0,1)</f>
        <v>1</v>
      </c>
      <c r="G196" s="84" t="s">
        <v>671</v>
      </c>
      <c r="H196" s="86">
        <v>14</v>
      </c>
      <c r="I196" s="85"/>
      <c r="J196" s="84" t="s">
        <v>205</v>
      </c>
      <c r="K196" s="84" t="s">
        <v>56</v>
      </c>
      <c r="L196" s="146">
        <v>0</v>
      </c>
      <c r="M196" s="96" t="s">
        <v>37</v>
      </c>
      <c r="N196" s="85"/>
      <c r="O196" s="107">
        <v>3367</v>
      </c>
      <c r="P196" s="113">
        <f t="shared" si="358"/>
        <v>1347</v>
      </c>
      <c r="Q196" s="85">
        <f t="shared" ref="Q196" si="424">IF(O196&gt;0,((O196+500)-P196)+T196,0)</f>
        <v>2671</v>
      </c>
      <c r="R196" s="153" t="s">
        <v>673</v>
      </c>
      <c r="S196" s="154"/>
      <c r="T196" s="154">
        <f t="shared" ref="T196" si="425">IF(U196=$AD$2,47,IF(U196=$AD$1,ROUND(((O196+500)*0.039),0),IF(U196=$AD$3,0)))</f>
        <v>151</v>
      </c>
      <c r="U196" s="87" t="str">
        <f t="shared" ref="U196" si="426">IF(V196=1,$AD$2,IF(V196=2,$AD$1,IF(AND(V196&lt;&gt;1,V196&lt;&gt;20)=TRUE,$AD$3)))</f>
        <v>PAYPAL</v>
      </c>
      <c r="V196" s="97">
        <v>2</v>
      </c>
      <c r="W196" s="90" t="s">
        <v>57</v>
      </c>
      <c r="X196" s="89">
        <f t="shared" ref="X196" si="427">Q196+P196</f>
        <v>4018</v>
      </c>
      <c r="Y196" s="154"/>
      <c r="Z196" s="113">
        <f t="shared" ref="Z196" si="428">IF(W196=$Z$1,Q196-500,0)</f>
        <v>2171</v>
      </c>
      <c r="AA196" s="113">
        <f t="shared" ref="AA196" si="429">IF(H196&gt;0,130,0)</f>
        <v>130</v>
      </c>
      <c r="AB196" s="113"/>
      <c r="AC196" s="155">
        <f t="shared" ref="AC196" si="430">(O196+T196)-AA196</f>
        <v>3388</v>
      </c>
      <c r="AD196" s="113"/>
      <c r="AE196" s="113">
        <f t="shared" ref="AE196" si="431">IF(H196&gt;0,30*F196,0)</f>
        <v>30</v>
      </c>
      <c r="AF196" s="113">
        <f>IF(AG196&gt;0,AG95:AG196,0)</f>
        <v>3358</v>
      </c>
      <c r="AG196" s="113">
        <f t="shared" ref="AG196" si="432">AC196-AE196</f>
        <v>3358</v>
      </c>
      <c r="AI196">
        <f t="shared" ref="AI196" si="433">IF(S196=1,O196-T196,0)</f>
        <v>0</v>
      </c>
      <c r="AJ196">
        <f t="shared" ref="AJ196" si="434">IF(S196=2,O196-T196,0)</f>
        <v>0</v>
      </c>
      <c r="AK196">
        <f t="shared" ref="AK196" si="435">IF(S196=3,O196-T196,0)</f>
        <v>0</v>
      </c>
      <c r="AL196">
        <f t="shared" ref="AL196" si="436">IF(S196=4,O196-T196,0)</f>
        <v>0</v>
      </c>
      <c r="AN196">
        <f t="shared" ref="AN196" si="437">IF(S196=1,O196-T196,0)</f>
        <v>0</v>
      </c>
      <c r="AO196">
        <f t="shared" ref="AO196" si="438">IF(S196=2,O196-T196,0)</f>
        <v>0</v>
      </c>
      <c r="AP196">
        <f t="shared" ref="AP196" si="439">IF(S196=3,O196-T196,0)</f>
        <v>0</v>
      </c>
      <c r="AQ196">
        <f t="shared" ref="AQ196" si="440">IF(S196=4,O196-T196,0)</f>
        <v>0</v>
      </c>
    </row>
    <row r="197" spans="2:43" s="84" customFormat="1" x14ac:dyDescent="0.25">
      <c r="B197" s="103" t="s">
        <v>83</v>
      </c>
      <c r="C197" s="86" t="s">
        <v>43</v>
      </c>
      <c r="D197" s="84" t="s">
        <v>43</v>
      </c>
      <c r="E197" s="84">
        <f>IF(D197=$B$12,H197,0)</f>
        <v>3</v>
      </c>
      <c r="F197" s="84">
        <f>IF(E197&gt;0,0,1)</f>
        <v>0</v>
      </c>
      <c r="G197" s="108" t="s">
        <v>517</v>
      </c>
      <c r="H197" s="86">
        <v>3</v>
      </c>
      <c r="I197" s="85"/>
      <c r="J197" s="84" t="s">
        <v>64</v>
      </c>
      <c r="K197" s="60" t="s">
        <v>56</v>
      </c>
      <c r="L197" s="60">
        <v>3</v>
      </c>
      <c r="M197" s="96" t="s">
        <v>37</v>
      </c>
      <c r="O197" s="107">
        <v>0</v>
      </c>
      <c r="P197" s="113">
        <f t="shared" si="358"/>
        <v>0</v>
      </c>
      <c r="Q197" s="85">
        <f t="shared" ref="Q197:Q217" si="441">IF(O197&gt;0,((O197+500)-P197)+T197,0)</f>
        <v>0</v>
      </c>
      <c r="R197" s="57"/>
      <c r="S197" s="89"/>
      <c r="T197" s="89">
        <f>IF(U197=$AD$2,47,IF(U197=$AD$1,ROUND(((O197+500)*0.039),0),IF(U197=$AD$3,0)))</f>
        <v>0</v>
      </c>
      <c r="U197" s="87" t="str">
        <f>IF(V197=1,$AD$2,IF(V197=2,$AD$1,IF(AND(V197&lt;&gt;1,V197&lt;&gt;20)=TRUE,$AD$3)))</f>
        <v>NONE</v>
      </c>
      <c r="V197" s="97"/>
      <c r="W197" s="90"/>
      <c r="X197" s="89">
        <f t="shared" si="412"/>
        <v>0</v>
      </c>
      <c r="Y197" s="89"/>
      <c r="Z197" s="58">
        <f>IF(W197=$Z$1,Q197-500,0)</f>
        <v>0</v>
      </c>
      <c r="AA197" s="58">
        <f>IF(H197&gt;0,130,0)</f>
        <v>130</v>
      </c>
      <c r="AB197" s="58"/>
      <c r="AC197" s="98">
        <f>(O197+T197)-AA197</f>
        <v>-130</v>
      </c>
      <c r="AD197" s="58"/>
      <c r="AE197" s="58">
        <f>IF(H197&gt;0,30*F197,0)</f>
        <v>0</v>
      </c>
      <c r="AF197" s="58">
        <f>IF(AG197&gt;0,AG97:AG197,0)</f>
        <v>0</v>
      </c>
      <c r="AG197" s="58">
        <f>AC197-AE197</f>
        <v>-130</v>
      </c>
      <c r="AI197" s="84">
        <f>IF(S197=1,O197-T197,0)</f>
        <v>0</v>
      </c>
      <c r="AJ197" s="84">
        <f>IF(S197=2,O197-T197,0)</f>
        <v>0</v>
      </c>
      <c r="AK197" s="84">
        <f>IF(S197=3,O197-T197,0)</f>
        <v>0</v>
      </c>
      <c r="AL197" s="84">
        <f>IF(S197=4,O197-T197,0)</f>
        <v>0</v>
      </c>
      <c r="AN197" s="84">
        <f>IF(S197=1,O197-T197,0)</f>
        <v>0</v>
      </c>
      <c r="AO197" s="84">
        <f>IF(S197=2,O197-T197,0)</f>
        <v>0</v>
      </c>
      <c r="AP197" s="84">
        <f>IF(S197=3,O197-T197,0)</f>
        <v>0</v>
      </c>
      <c r="AQ197" s="84">
        <f>IF(S197=4,O197-T197,0)</f>
        <v>0</v>
      </c>
    </row>
    <row r="198" spans="2:43" x14ac:dyDescent="0.25">
      <c r="B198" s="148" t="s">
        <v>693</v>
      </c>
      <c r="C198" s="148" t="s">
        <v>694</v>
      </c>
      <c r="D198" s="84" t="s">
        <v>630</v>
      </c>
      <c r="E198" s="85">
        <f t="shared" ref="E198:E199" si="442">IF(D198=$B$12,H198,0)</f>
        <v>0</v>
      </c>
      <c r="F198" s="85">
        <f t="shared" ref="F198:F199" si="443">IF(E198&gt;0,0,1)</f>
        <v>1</v>
      </c>
      <c r="G198" s="85" t="s">
        <v>695</v>
      </c>
      <c r="H198" s="86">
        <v>7</v>
      </c>
      <c r="I198" s="85"/>
      <c r="J198" s="84" t="s">
        <v>369</v>
      </c>
      <c r="K198" s="84" t="s">
        <v>56</v>
      </c>
      <c r="L198" s="146">
        <v>0</v>
      </c>
      <c r="M198" s="96" t="s">
        <v>37</v>
      </c>
      <c r="N198" s="85"/>
      <c r="O198" s="107">
        <v>1619</v>
      </c>
      <c r="P198" s="113">
        <f t="shared" si="358"/>
        <v>648</v>
      </c>
      <c r="Q198" s="85">
        <f t="shared" ref="Q198:Q199" si="444">IF(O198&gt;0,((O198+500)-P198)+T198,0)</f>
        <v>1554</v>
      </c>
      <c r="R198" s="57" t="s">
        <v>698</v>
      </c>
      <c r="S198" s="154"/>
      <c r="T198" s="154">
        <f t="shared" ref="T198:T199" si="445">IF(U198=$AD$2,47,IF(U198=$AD$1,ROUND(((O198+500)*0.039),0),IF(U198=$AD$3,0)))</f>
        <v>83</v>
      </c>
      <c r="U198" s="87" t="str">
        <f t="shared" ref="U198:U199" si="446">IF(V198=1,$AD$2,IF(V198=2,$AD$1,IF(AND(V198&lt;&gt;1,V198&lt;&gt;20)=TRUE,$AD$3)))</f>
        <v>PAYPAL</v>
      </c>
      <c r="V198" s="97">
        <v>2</v>
      </c>
      <c r="W198" s="146" t="s">
        <v>57</v>
      </c>
      <c r="X198" s="89">
        <f t="shared" ref="X198:X199" si="447">Q198+P198</f>
        <v>2202</v>
      </c>
      <c r="Y198" s="154"/>
      <c r="Z198" s="113">
        <f t="shared" ref="Z198:Z199" si="448">IF(W198=$Z$1,Q198-500,0)</f>
        <v>1054</v>
      </c>
      <c r="AA198" s="113">
        <f t="shared" ref="AA198:AA199" si="449">IF(H198&gt;0,130,0)</f>
        <v>130</v>
      </c>
      <c r="AB198" s="113"/>
      <c r="AC198" s="155">
        <f t="shared" ref="AC198:AC199" si="450">(O198+T198)-AA198</f>
        <v>1572</v>
      </c>
      <c r="AD198" s="113"/>
      <c r="AE198" s="113">
        <f t="shared" ref="AE198:AE199" si="451">IF(H198&gt;0,30*F198,0)</f>
        <v>30</v>
      </c>
      <c r="AF198" s="113">
        <f>IF(AG198&gt;0,AG95:AG198,0)</f>
        <v>1542</v>
      </c>
      <c r="AG198" s="113">
        <f t="shared" ref="AG198:AG199" si="452">AC198-AE198</f>
        <v>1542</v>
      </c>
      <c r="AI198">
        <f t="shared" ref="AI198:AI199" si="453">IF(S198=1,O198-T198,0)</f>
        <v>0</v>
      </c>
      <c r="AJ198">
        <f t="shared" ref="AJ198:AJ199" si="454">IF(S198=2,O198-T198,0)</f>
        <v>0</v>
      </c>
      <c r="AK198">
        <f t="shared" ref="AK198:AK199" si="455">IF(S198=3,O198-T198,0)</f>
        <v>0</v>
      </c>
      <c r="AL198">
        <f t="shared" ref="AL198:AL199" si="456">IF(S198=4,O198-T198,0)</f>
        <v>0</v>
      </c>
      <c r="AN198">
        <f t="shared" ref="AN198:AN199" si="457">IF(S198=1,O198-T198,0)</f>
        <v>0</v>
      </c>
      <c r="AO198">
        <f t="shared" ref="AO198:AO199" si="458">IF(S198=2,O198-T198,0)</f>
        <v>0</v>
      </c>
      <c r="AP198">
        <f t="shared" ref="AP198:AP199" si="459">IF(S198=3,O198-T198,0)</f>
        <v>0</v>
      </c>
      <c r="AQ198">
        <f t="shared" ref="AQ198:AQ199" si="460">IF(S198=4,O198-T198,0)</f>
        <v>0</v>
      </c>
    </row>
    <row r="199" spans="2:43" x14ac:dyDescent="0.25">
      <c r="B199" s="147" t="s">
        <v>577</v>
      </c>
      <c r="C199" t="s">
        <v>432</v>
      </c>
      <c r="D199" s="85" t="s">
        <v>376</v>
      </c>
      <c r="E199" s="85">
        <f t="shared" si="442"/>
        <v>0</v>
      </c>
      <c r="F199" s="85">
        <f t="shared" si="443"/>
        <v>1</v>
      </c>
      <c r="G199" s="148" t="s">
        <v>696</v>
      </c>
      <c r="H199" s="86">
        <v>10</v>
      </c>
      <c r="I199" s="85"/>
      <c r="J199" s="84" t="s">
        <v>99</v>
      </c>
      <c r="K199" s="84" t="s">
        <v>56</v>
      </c>
      <c r="L199" s="146">
        <v>0</v>
      </c>
      <c r="M199" s="96" t="s">
        <v>37</v>
      </c>
      <c r="N199" s="85"/>
      <c r="O199" s="107">
        <v>1923</v>
      </c>
      <c r="P199" s="113">
        <f t="shared" ref="P199" si="461">ROUND((O199*0.4),0)</f>
        <v>769</v>
      </c>
      <c r="Q199" s="85">
        <f t="shared" si="444"/>
        <v>1748</v>
      </c>
      <c r="R199" s="57" t="s">
        <v>697</v>
      </c>
      <c r="S199" s="154"/>
      <c r="T199" s="154">
        <f t="shared" si="445"/>
        <v>94</v>
      </c>
      <c r="U199" s="87" t="str">
        <f t="shared" si="446"/>
        <v>PAYPAL</v>
      </c>
      <c r="V199" s="97">
        <v>2</v>
      </c>
      <c r="W199" s="109" t="s">
        <v>57</v>
      </c>
      <c r="X199" s="89">
        <f t="shared" si="447"/>
        <v>2517</v>
      </c>
      <c r="Y199" s="154"/>
      <c r="Z199" s="113">
        <f t="shared" si="448"/>
        <v>1248</v>
      </c>
      <c r="AA199" s="113">
        <f t="shared" si="449"/>
        <v>130</v>
      </c>
      <c r="AB199" s="113"/>
      <c r="AC199" s="155">
        <f t="shared" si="450"/>
        <v>1887</v>
      </c>
      <c r="AD199" s="113"/>
      <c r="AE199" s="113">
        <f t="shared" si="451"/>
        <v>30</v>
      </c>
      <c r="AF199" s="113">
        <f>IF(AG199&gt;0,AG95:AG208,0)</f>
        <v>1857</v>
      </c>
      <c r="AG199" s="113">
        <f t="shared" si="452"/>
        <v>1857</v>
      </c>
      <c r="AI199">
        <f t="shared" si="453"/>
        <v>0</v>
      </c>
      <c r="AJ199">
        <f t="shared" si="454"/>
        <v>0</v>
      </c>
      <c r="AK199">
        <f t="shared" si="455"/>
        <v>0</v>
      </c>
      <c r="AL199">
        <f t="shared" si="456"/>
        <v>0</v>
      </c>
      <c r="AN199">
        <f t="shared" si="457"/>
        <v>0</v>
      </c>
      <c r="AO199">
        <f t="shared" si="458"/>
        <v>0</v>
      </c>
      <c r="AP199">
        <f t="shared" si="459"/>
        <v>0</v>
      </c>
      <c r="AQ199">
        <f t="shared" si="460"/>
        <v>0</v>
      </c>
    </row>
    <row r="200" spans="2:43" x14ac:dyDescent="0.25">
      <c r="B200" s="103" t="s">
        <v>83</v>
      </c>
      <c r="C200" s="86" t="s">
        <v>43</v>
      </c>
      <c r="D200" s="84" t="s">
        <v>43</v>
      </c>
      <c r="E200" s="85">
        <f t="shared" ref="E200:E201" si="462">IF(D200=$B$12,H200,0)</f>
        <v>2</v>
      </c>
      <c r="F200" s="85">
        <f t="shared" ref="F200:F201" si="463">IF(E200&gt;0,0,1)</f>
        <v>0</v>
      </c>
      <c r="G200" s="198" t="s">
        <v>703</v>
      </c>
      <c r="H200" s="86">
        <v>2</v>
      </c>
      <c r="I200" s="85"/>
      <c r="J200" s="84" t="s">
        <v>659</v>
      </c>
      <c r="K200" s="84" t="s">
        <v>56</v>
      </c>
      <c r="L200" s="146">
        <v>3</v>
      </c>
      <c r="M200" s="96" t="s">
        <v>37</v>
      </c>
      <c r="N200" s="85"/>
      <c r="O200" s="107">
        <v>0</v>
      </c>
      <c r="P200" s="113">
        <f t="shared" ref="P200:P201" si="464">ROUND((O200*0.4),0)</f>
        <v>0</v>
      </c>
      <c r="Q200" s="85">
        <f t="shared" ref="Q200:Q201" si="465">IF(O200&gt;0,((O200+500)-P200)+T200,0)</f>
        <v>0</v>
      </c>
      <c r="R200" s="153"/>
      <c r="S200" s="154"/>
      <c r="T200" s="154">
        <f t="shared" ref="T200:T201" si="466">IF(U200=$AD$2,47,IF(U200=$AD$1,ROUND(((O200+500)*0.039),0),IF(U200=$AD$3,0)))</f>
        <v>0</v>
      </c>
      <c r="U200" s="87" t="str">
        <f t="shared" ref="U200:U201" si="467">IF(V200=1,$AD$2,IF(V200=2,$AD$1,IF(AND(V200&lt;&gt;1,V200&lt;&gt;20)=TRUE,$AD$3)))</f>
        <v>NONE</v>
      </c>
      <c r="V200" s="97"/>
      <c r="W200" s="146"/>
      <c r="X200" s="89">
        <f t="shared" ref="X200:X201" si="468">Q200+P200</f>
        <v>0</v>
      </c>
      <c r="Y200" s="154"/>
      <c r="Z200" s="113">
        <f t="shared" ref="Z200:Z201" si="469">IF(W200=$Z$1,Q200-500,0)</f>
        <v>0</v>
      </c>
      <c r="AA200" s="113">
        <f t="shared" ref="AA200:AA201" si="470">IF(H200&gt;0,130,0)</f>
        <v>130</v>
      </c>
      <c r="AB200" s="113"/>
      <c r="AC200" s="155">
        <f t="shared" ref="AC200:AC201" si="471">(O200+T200)-AA200</f>
        <v>-130</v>
      </c>
      <c r="AD200" s="113"/>
      <c r="AE200" s="113">
        <f t="shared" ref="AE200:AE201" si="472">IF(H200&gt;0,30*F200,0)</f>
        <v>0</v>
      </c>
      <c r="AF200" s="113">
        <f>IF(AG200&gt;0,AG98:AG200,0)</f>
        <v>0</v>
      </c>
      <c r="AG200" s="113">
        <f t="shared" ref="AG200:AG201" si="473">AC200-AE200</f>
        <v>-130</v>
      </c>
      <c r="AI200">
        <f t="shared" ref="AI200:AI201" si="474">IF(S200=1,O200-T200,0)</f>
        <v>0</v>
      </c>
      <c r="AJ200">
        <f t="shared" ref="AJ200:AJ201" si="475">IF(S200=2,O200-T200,0)</f>
        <v>0</v>
      </c>
      <c r="AK200">
        <f t="shared" ref="AK200:AK201" si="476">IF(S200=3,O200-T200,0)</f>
        <v>0</v>
      </c>
      <c r="AL200">
        <f t="shared" ref="AL200:AL201" si="477">IF(S200=4,O200-T200,0)</f>
        <v>0</v>
      </c>
      <c r="AN200">
        <f t="shared" ref="AN200:AN201" si="478">IF(S200=1,O200-T200,0)</f>
        <v>0</v>
      </c>
      <c r="AO200">
        <f t="shared" ref="AO200:AO201" si="479">IF(S200=2,O200-T200,0)</f>
        <v>0</v>
      </c>
      <c r="AP200">
        <f t="shared" ref="AP200:AP201" si="480">IF(S200=3,O200-T200,0)</f>
        <v>0</v>
      </c>
      <c r="AQ200">
        <f t="shared" ref="AQ200:AQ201" si="481">IF(S200=4,O200-T200,0)</f>
        <v>0</v>
      </c>
    </row>
    <row r="201" spans="2:43" s="84" customFormat="1" x14ac:dyDescent="0.25">
      <c r="B201" s="86" t="s">
        <v>569</v>
      </c>
      <c r="C201" s="84" t="s">
        <v>570</v>
      </c>
      <c r="D201" s="84" t="s">
        <v>376</v>
      </c>
      <c r="E201" s="84">
        <f t="shared" si="462"/>
        <v>0</v>
      </c>
      <c r="F201" s="84">
        <f t="shared" si="463"/>
        <v>1</v>
      </c>
      <c r="G201" s="84" t="s">
        <v>713</v>
      </c>
      <c r="H201" s="86">
        <v>8</v>
      </c>
      <c r="I201" s="85"/>
      <c r="J201" s="84" t="s">
        <v>75</v>
      </c>
      <c r="K201" s="84" t="s">
        <v>56</v>
      </c>
      <c r="L201" s="109">
        <v>0</v>
      </c>
      <c r="M201" s="96" t="s">
        <v>37</v>
      </c>
      <c r="O201" s="107">
        <v>1784</v>
      </c>
      <c r="P201" s="113">
        <f t="shared" si="464"/>
        <v>714</v>
      </c>
      <c r="Q201" s="85">
        <f t="shared" si="465"/>
        <v>1659</v>
      </c>
      <c r="R201" s="57" t="s">
        <v>712</v>
      </c>
      <c r="S201" s="89"/>
      <c r="T201" s="89">
        <f t="shared" si="466"/>
        <v>89</v>
      </c>
      <c r="U201" s="87" t="str">
        <f t="shared" si="467"/>
        <v>PAYPAL</v>
      </c>
      <c r="V201" s="97">
        <v>2</v>
      </c>
      <c r="W201" s="197" t="s">
        <v>718</v>
      </c>
      <c r="X201" s="89">
        <f t="shared" si="468"/>
        <v>2373</v>
      </c>
      <c r="Y201" s="89"/>
      <c r="Z201" s="58">
        <f t="shared" si="469"/>
        <v>0</v>
      </c>
      <c r="AA201" s="58">
        <f t="shared" si="470"/>
        <v>130</v>
      </c>
      <c r="AB201" s="58"/>
      <c r="AC201" s="98">
        <f t="shared" si="471"/>
        <v>1743</v>
      </c>
      <c r="AD201" s="58"/>
      <c r="AE201" s="58">
        <f t="shared" si="472"/>
        <v>30</v>
      </c>
      <c r="AF201" s="58">
        <f>IF(AG201&gt;0,AG98:AG201,0)</f>
        <v>1713</v>
      </c>
      <c r="AG201" s="58">
        <f t="shared" si="473"/>
        <v>1713</v>
      </c>
      <c r="AI201" s="84">
        <f t="shared" si="474"/>
        <v>0</v>
      </c>
      <c r="AJ201" s="84">
        <f t="shared" si="475"/>
        <v>0</v>
      </c>
      <c r="AK201" s="84">
        <f t="shared" si="476"/>
        <v>0</v>
      </c>
      <c r="AL201" s="84">
        <f t="shared" si="477"/>
        <v>0</v>
      </c>
      <c r="AN201" s="84">
        <f t="shared" si="478"/>
        <v>0</v>
      </c>
      <c r="AO201" s="84">
        <f t="shared" si="479"/>
        <v>0</v>
      </c>
      <c r="AP201" s="84">
        <f t="shared" si="480"/>
        <v>0</v>
      </c>
      <c r="AQ201" s="84">
        <f t="shared" si="481"/>
        <v>0</v>
      </c>
    </row>
    <row r="202" spans="2:43" x14ac:dyDescent="0.25">
      <c r="B202" s="103" t="s">
        <v>83</v>
      </c>
      <c r="C202" s="86" t="s">
        <v>43</v>
      </c>
      <c r="D202" s="84" t="s">
        <v>43</v>
      </c>
      <c r="E202" s="85">
        <f t="shared" ref="E202:E217" si="482">IF(D202=$B$12,H202,0)</f>
        <v>25</v>
      </c>
      <c r="F202" s="85">
        <f t="shared" ref="F202:F217" si="483">IF(E202&gt;0,0,1)</f>
        <v>0</v>
      </c>
      <c r="G202" s="108" t="s">
        <v>729</v>
      </c>
      <c r="H202" s="86">
        <v>25</v>
      </c>
      <c r="I202" s="85"/>
      <c r="J202" s="84" t="s">
        <v>659</v>
      </c>
      <c r="K202" s="84" t="s">
        <v>56</v>
      </c>
      <c r="L202" s="146">
        <v>3</v>
      </c>
      <c r="M202" s="96" t="s">
        <v>37</v>
      </c>
      <c r="N202" s="85"/>
      <c r="O202" s="107">
        <v>0</v>
      </c>
      <c r="P202" s="113">
        <f t="shared" si="358"/>
        <v>0</v>
      </c>
      <c r="Q202" s="85">
        <f t="shared" si="441"/>
        <v>0</v>
      </c>
      <c r="R202" s="153"/>
      <c r="S202" s="154"/>
      <c r="T202" s="154">
        <f t="shared" ref="T202:T217" si="484">IF(U202=$AD$2,47,IF(U202=$AD$1,ROUND(((O202+500)*0.039),0),IF(U202=$AD$3,0)))</f>
        <v>0</v>
      </c>
      <c r="U202" s="87" t="str">
        <f t="shared" ref="U202:U217" si="485">IF(V202=1,$AD$2,IF(V202=2,$AD$1,IF(AND(V202&lt;&gt;1,V202&lt;&gt;20)=TRUE,$AD$3)))</f>
        <v>NONE</v>
      </c>
      <c r="V202" s="97"/>
      <c r="W202" s="146"/>
      <c r="X202" s="89">
        <f t="shared" si="412"/>
        <v>0</v>
      </c>
      <c r="Y202" s="154"/>
      <c r="Z202" s="113">
        <f t="shared" ref="Z202:Z217" si="486">IF(W202=$Z$1,Q202-500,0)</f>
        <v>0</v>
      </c>
      <c r="AA202" s="113">
        <f t="shared" ref="AA202:AA217" si="487">IF(H202&gt;0,130,0)</f>
        <v>130</v>
      </c>
      <c r="AB202" s="113"/>
      <c r="AC202" s="155">
        <f t="shared" ref="AC202:AC217" si="488">(O202+T202)-AA202</f>
        <v>-130</v>
      </c>
      <c r="AD202" s="113"/>
      <c r="AE202" s="113">
        <f t="shared" ref="AE202:AE217" si="489">IF(H202&gt;0,30*F202,0)</f>
        <v>0</v>
      </c>
      <c r="AF202" s="113">
        <f>IF(AG202&gt;0,AG99:AG202,0)</f>
        <v>0</v>
      </c>
      <c r="AG202" s="113">
        <f t="shared" ref="AG202:AG217" si="490">AC202-AE202</f>
        <v>-130</v>
      </c>
      <c r="AI202">
        <f t="shared" ref="AI202:AI217" si="491">IF(S202=1,O202-T202,0)</f>
        <v>0</v>
      </c>
      <c r="AJ202">
        <f t="shared" ref="AJ202:AJ217" si="492">IF(S202=2,O202-T202,0)</f>
        <v>0</v>
      </c>
      <c r="AK202">
        <f t="shared" ref="AK202:AK217" si="493">IF(S202=3,O202-T202,0)</f>
        <v>0</v>
      </c>
      <c r="AL202">
        <f t="shared" ref="AL202:AL217" si="494">IF(S202=4,O202-T202,0)</f>
        <v>0</v>
      </c>
      <c r="AN202">
        <f t="shared" ref="AN202:AN217" si="495">IF(S202=1,O202-T202,0)</f>
        <v>0</v>
      </c>
      <c r="AO202">
        <f t="shared" ref="AO202:AO217" si="496">IF(S202=2,O202-T202,0)</f>
        <v>0</v>
      </c>
      <c r="AP202">
        <f t="shared" ref="AP202:AP217" si="497">IF(S202=3,O202-T202,0)</f>
        <v>0</v>
      </c>
      <c r="AQ202">
        <f t="shared" ref="AQ202:AQ217" si="498">IF(S202=4,O202-T202,0)</f>
        <v>0</v>
      </c>
    </row>
    <row r="203" spans="2:43" x14ac:dyDescent="0.25">
      <c r="B203" s="86" t="s">
        <v>616</v>
      </c>
      <c r="C203" t="s">
        <v>730</v>
      </c>
      <c r="D203" s="84" t="s">
        <v>31</v>
      </c>
      <c r="E203" s="85">
        <f t="shared" ref="E203" si="499">IF(D203=$B$12,H203,0)</f>
        <v>0</v>
      </c>
      <c r="F203" s="85">
        <f t="shared" ref="F203" si="500">IF(E203&gt;0,0,1)</f>
        <v>1</v>
      </c>
      <c r="G203" s="84" t="s">
        <v>727</v>
      </c>
      <c r="H203" s="86">
        <v>14</v>
      </c>
      <c r="I203" s="85"/>
      <c r="J203" s="84" t="s">
        <v>617</v>
      </c>
      <c r="K203" s="84" t="s">
        <v>56</v>
      </c>
      <c r="L203" s="146">
        <v>0</v>
      </c>
      <c r="M203" s="96" t="s">
        <v>37</v>
      </c>
      <c r="N203" s="85"/>
      <c r="O203" s="107">
        <v>2978</v>
      </c>
      <c r="P203" s="113">
        <f t="shared" ref="P203" si="501">ROUND((O203*0.4),0)</f>
        <v>1191</v>
      </c>
      <c r="Q203" s="85">
        <f t="shared" ref="Q203" si="502">IF(O203&gt;0,((O203+500)-P203)+T203,0)</f>
        <v>2423</v>
      </c>
      <c r="R203" s="153" t="s">
        <v>728</v>
      </c>
      <c r="S203" s="154"/>
      <c r="T203" s="154">
        <f t="shared" ref="T203" si="503">IF(U203=$AD$2,47,IF(U203=$AD$1,ROUND(((O203+500)*0.039),0),IF(U203=$AD$3,0)))</f>
        <v>136</v>
      </c>
      <c r="U203" s="87" t="str">
        <f t="shared" ref="U203" si="504">IF(V203=1,$AD$2,IF(V203=2,$AD$1,IF(AND(V203&lt;&gt;1,V203&lt;&gt;20)=TRUE,$AD$3)))</f>
        <v>PAYPAL</v>
      </c>
      <c r="V203" s="97">
        <v>2</v>
      </c>
      <c r="W203" s="202" t="s">
        <v>718</v>
      </c>
      <c r="X203" s="89">
        <f t="shared" ref="X203" si="505">Q203+P203</f>
        <v>3614</v>
      </c>
      <c r="Y203" s="154"/>
      <c r="Z203" s="113">
        <f t="shared" ref="Z203" si="506">IF(W203=$Z$1,Q203-500,0)</f>
        <v>0</v>
      </c>
      <c r="AA203" s="113">
        <f t="shared" ref="AA203" si="507">IF(H203&gt;0,130,0)</f>
        <v>130</v>
      </c>
      <c r="AB203" s="113"/>
      <c r="AC203" s="155">
        <f t="shared" ref="AC203" si="508">(O203+T203)-AA203</f>
        <v>2984</v>
      </c>
      <c r="AD203" s="113"/>
      <c r="AE203" s="113">
        <f t="shared" ref="AE203" si="509">IF(H203&gt;0,30*F203,0)</f>
        <v>30</v>
      </c>
      <c r="AF203" s="113">
        <f>IF(AG203&gt;0,AG98:AG211,0)</f>
        <v>2954</v>
      </c>
      <c r="AG203" s="113">
        <f t="shared" ref="AG203" si="510">AC203-AE203</f>
        <v>2954</v>
      </c>
      <c r="AI203">
        <f t="shared" ref="AI203" si="511">IF(S203=1,O203-T203,0)</f>
        <v>0</v>
      </c>
      <c r="AJ203">
        <f t="shared" ref="AJ203" si="512">IF(S203=2,O203-T203,0)</f>
        <v>0</v>
      </c>
      <c r="AK203">
        <f t="shared" ref="AK203" si="513">IF(S203=3,O203-T203,0)</f>
        <v>0</v>
      </c>
      <c r="AL203">
        <f t="shared" ref="AL203" si="514">IF(S203=4,O203-T203,0)</f>
        <v>0</v>
      </c>
      <c r="AN203">
        <f t="shared" ref="AN203" si="515">IF(S203=1,O203-T203,0)</f>
        <v>0</v>
      </c>
      <c r="AO203">
        <f t="shared" ref="AO203" si="516">IF(S203=2,O203-T203,0)</f>
        <v>0</v>
      </c>
      <c r="AP203">
        <f t="shared" ref="AP203" si="517">IF(S203=3,O203-T203,0)</f>
        <v>0</v>
      </c>
      <c r="AQ203">
        <f t="shared" ref="AQ203" si="518">IF(S203=4,O203-T203,0)</f>
        <v>0</v>
      </c>
    </row>
    <row r="204" spans="2:43" x14ac:dyDescent="0.25">
      <c r="B204" s="103" t="s">
        <v>83</v>
      </c>
      <c r="C204" s="86" t="s">
        <v>43</v>
      </c>
      <c r="D204" s="84" t="s">
        <v>43</v>
      </c>
      <c r="E204" s="85">
        <f t="shared" si="482"/>
        <v>3</v>
      </c>
      <c r="F204" s="85">
        <f t="shared" si="483"/>
        <v>0</v>
      </c>
      <c r="G204" s="108" t="s">
        <v>704</v>
      </c>
      <c r="H204" s="86">
        <v>3</v>
      </c>
      <c r="I204" s="85"/>
      <c r="J204" s="84" t="s">
        <v>659</v>
      </c>
      <c r="K204" s="84" t="s">
        <v>56</v>
      </c>
      <c r="L204" s="146">
        <v>3</v>
      </c>
      <c r="M204" s="96" t="s">
        <v>37</v>
      </c>
      <c r="N204" s="85"/>
      <c r="O204" s="107">
        <v>0</v>
      </c>
      <c r="P204" s="113">
        <f t="shared" si="358"/>
        <v>0</v>
      </c>
      <c r="Q204" s="85">
        <f t="shared" si="441"/>
        <v>0</v>
      </c>
      <c r="R204" s="181"/>
      <c r="S204" s="154"/>
      <c r="T204" s="154">
        <f t="shared" si="484"/>
        <v>0</v>
      </c>
      <c r="U204" s="87" t="str">
        <f t="shared" si="485"/>
        <v>NONE</v>
      </c>
      <c r="V204" s="97"/>
      <c r="W204" s="90"/>
      <c r="X204" s="89">
        <f t="shared" si="412"/>
        <v>0</v>
      </c>
      <c r="Y204" s="154"/>
      <c r="Z204" s="113">
        <f t="shared" si="486"/>
        <v>0</v>
      </c>
      <c r="AA204" s="113">
        <f t="shared" si="487"/>
        <v>130</v>
      </c>
      <c r="AB204" s="113"/>
      <c r="AC204" s="155">
        <f t="shared" si="488"/>
        <v>-130</v>
      </c>
      <c r="AD204" s="113"/>
      <c r="AE204" s="113">
        <f t="shared" si="489"/>
        <v>0</v>
      </c>
      <c r="AF204" s="113">
        <f>IF(AG204&gt;0,AG100:AG204,0)</f>
        <v>0</v>
      </c>
      <c r="AG204" s="113">
        <f t="shared" si="490"/>
        <v>-130</v>
      </c>
      <c r="AI204">
        <f t="shared" si="491"/>
        <v>0</v>
      </c>
      <c r="AJ204">
        <f t="shared" si="492"/>
        <v>0</v>
      </c>
      <c r="AK204">
        <f t="shared" si="493"/>
        <v>0</v>
      </c>
      <c r="AL204">
        <f t="shared" si="494"/>
        <v>0</v>
      </c>
      <c r="AN204">
        <f t="shared" si="495"/>
        <v>0</v>
      </c>
      <c r="AO204">
        <f t="shared" si="496"/>
        <v>0</v>
      </c>
      <c r="AP204">
        <f t="shared" si="497"/>
        <v>0</v>
      </c>
      <c r="AQ204">
        <f t="shared" si="498"/>
        <v>0</v>
      </c>
    </row>
    <row r="205" spans="2:43" x14ac:dyDescent="0.25">
      <c r="B205" s="111" t="s">
        <v>678</v>
      </c>
      <c r="C205" s="84" t="s">
        <v>338</v>
      </c>
      <c r="D205" s="84" t="s">
        <v>31</v>
      </c>
      <c r="E205" s="85">
        <f>IF(D205=$B$12,H205,0)</f>
        <v>0</v>
      </c>
      <c r="F205" s="85">
        <f>IF(E205&gt;0,0,1)</f>
        <v>1</v>
      </c>
      <c r="G205" s="148" t="s">
        <v>710</v>
      </c>
      <c r="H205" s="86">
        <v>18</v>
      </c>
      <c r="I205" s="85"/>
      <c r="J205" s="84" t="s">
        <v>676</v>
      </c>
      <c r="K205" s="84" t="s">
        <v>56</v>
      </c>
      <c r="L205" s="146">
        <v>0</v>
      </c>
      <c r="M205" s="96" t="s">
        <v>37</v>
      </c>
      <c r="N205" s="85"/>
      <c r="O205" s="107">
        <v>3309</v>
      </c>
      <c r="P205" s="113">
        <f>ROUND((O205*0.4),0)</f>
        <v>1324</v>
      </c>
      <c r="Q205" s="85">
        <f>IF(O205&gt;0,((O205+500)-P205)+T205,0)+300</f>
        <v>2934</v>
      </c>
      <c r="R205" s="153" t="s">
        <v>677</v>
      </c>
      <c r="S205" s="154"/>
      <c r="T205" s="154">
        <f>IF(U205=$AD$2,47,IF(U205=$AD$1,ROUND(((O205+500)*0.039),0),IF(U205=$AD$3,0)))</f>
        <v>149</v>
      </c>
      <c r="U205" s="87" t="str">
        <f>IF(V205=1,$AD$2,IF(V205=2,$AD$1,IF(AND(V205&lt;&gt;1,V205&lt;&gt;20)=TRUE,$AD$3)))</f>
        <v>PAYPAL</v>
      </c>
      <c r="V205" s="97">
        <v>2</v>
      </c>
      <c r="W205" s="90" t="s">
        <v>57</v>
      </c>
      <c r="X205" s="89">
        <f>Q205+P205</f>
        <v>4258</v>
      </c>
      <c r="Y205" s="154"/>
      <c r="Z205" s="113">
        <f>IF(W205=$Z$1,Q205-500,0)</f>
        <v>2434</v>
      </c>
      <c r="AA205" s="113">
        <f>IF(H205&gt;0,130,0)</f>
        <v>130</v>
      </c>
      <c r="AB205" s="113"/>
      <c r="AC205" s="155">
        <f>(O205+T205)-AA205</f>
        <v>3328</v>
      </c>
      <c r="AD205" s="113"/>
      <c r="AE205" s="113">
        <f>IF(H205&gt;0,30*F205,0)</f>
        <v>30</v>
      </c>
      <c r="AF205" s="113">
        <f>IF(AG205&gt;0,AG98:AG205,0)</f>
        <v>3298</v>
      </c>
      <c r="AG205" s="113">
        <f>AC205-AE205</f>
        <v>3298</v>
      </c>
      <c r="AI205">
        <f>IF(S205=1,O205-T205,0)</f>
        <v>0</v>
      </c>
      <c r="AJ205">
        <f>IF(S205=2,O205-T205,0)</f>
        <v>0</v>
      </c>
      <c r="AK205">
        <f>IF(S205=3,O205-T205,0)</f>
        <v>0</v>
      </c>
      <c r="AL205">
        <f>IF(S205=4,O205-T205,0)</f>
        <v>0</v>
      </c>
      <c r="AN205">
        <f>IF(S205=1,O205-T205,0)</f>
        <v>0</v>
      </c>
      <c r="AO205">
        <f>IF(S205=2,O205-T205,0)</f>
        <v>0</v>
      </c>
      <c r="AP205">
        <f>IF(S205=3,O205-T205,0)</f>
        <v>0</v>
      </c>
      <c r="AQ205">
        <f>IF(S205=4,O205-T205,0)</f>
        <v>0</v>
      </c>
    </row>
    <row r="206" spans="2:43" x14ac:dyDescent="0.25">
      <c r="B206" s="103" t="s">
        <v>83</v>
      </c>
      <c r="C206" s="86" t="s">
        <v>43</v>
      </c>
      <c r="D206" s="84" t="s">
        <v>43</v>
      </c>
      <c r="E206" s="85">
        <f t="shared" si="482"/>
        <v>3</v>
      </c>
      <c r="F206" s="85">
        <f t="shared" si="483"/>
        <v>0</v>
      </c>
      <c r="G206" s="108" t="s">
        <v>705</v>
      </c>
      <c r="H206" s="86">
        <v>3</v>
      </c>
      <c r="I206" s="85"/>
      <c r="J206" s="84" t="s">
        <v>659</v>
      </c>
      <c r="K206" s="84" t="s">
        <v>56</v>
      </c>
      <c r="L206" s="146">
        <v>3</v>
      </c>
      <c r="M206" s="96" t="s">
        <v>37</v>
      </c>
      <c r="N206" s="85"/>
      <c r="O206" s="107">
        <v>0</v>
      </c>
      <c r="P206" s="113">
        <f t="shared" si="358"/>
        <v>0</v>
      </c>
      <c r="Q206" s="85">
        <f t="shared" si="441"/>
        <v>0</v>
      </c>
      <c r="R206" s="153"/>
      <c r="S206" s="154"/>
      <c r="T206" s="154">
        <f t="shared" si="484"/>
        <v>0</v>
      </c>
      <c r="U206" s="87" t="str">
        <f t="shared" si="485"/>
        <v>NONE</v>
      </c>
      <c r="V206" s="97"/>
      <c r="W206" s="146"/>
      <c r="X206" s="89">
        <f t="shared" si="412"/>
        <v>0</v>
      </c>
      <c r="Y206" s="154"/>
      <c r="Z206" s="113">
        <f t="shared" si="486"/>
        <v>0</v>
      </c>
      <c r="AA206" s="113">
        <f t="shared" si="487"/>
        <v>130</v>
      </c>
      <c r="AB206" s="113"/>
      <c r="AC206" s="155">
        <f t="shared" si="488"/>
        <v>-130</v>
      </c>
      <c r="AD206" s="113"/>
      <c r="AE206" s="113">
        <f t="shared" si="489"/>
        <v>0</v>
      </c>
      <c r="AF206" s="113">
        <f>IF(AG206&gt;0,AG101:AG206,0)</f>
        <v>0</v>
      </c>
      <c r="AG206" s="113">
        <f t="shared" si="490"/>
        <v>-130</v>
      </c>
      <c r="AI206">
        <f t="shared" si="491"/>
        <v>0</v>
      </c>
      <c r="AJ206">
        <f t="shared" si="492"/>
        <v>0</v>
      </c>
      <c r="AK206">
        <f t="shared" si="493"/>
        <v>0</v>
      </c>
      <c r="AL206">
        <f t="shared" si="494"/>
        <v>0</v>
      </c>
      <c r="AN206">
        <f t="shared" si="495"/>
        <v>0</v>
      </c>
      <c r="AO206">
        <f t="shared" si="496"/>
        <v>0</v>
      </c>
      <c r="AP206">
        <f t="shared" si="497"/>
        <v>0</v>
      </c>
      <c r="AQ206">
        <f t="shared" si="498"/>
        <v>0</v>
      </c>
    </row>
    <row r="207" spans="2:43" x14ac:dyDescent="0.25">
      <c r="B207" s="86"/>
      <c r="C207" s="86"/>
      <c r="D207" s="84"/>
      <c r="E207" s="85">
        <f t="shared" si="482"/>
        <v>0</v>
      </c>
      <c r="F207" s="85">
        <f t="shared" si="483"/>
        <v>1</v>
      </c>
      <c r="G207" s="104"/>
      <c r="H207" s="86">
        <v>0</v>
      </c>
      <c r="I207" s="85"/>
      <c r="J207" s="84"/>
      <c r="K207" s="84"/>
      <c r="L207" s="146"/>
      <c r="M207" s="96"/>
      <c r="N207" s="85"/>
      <c r="O207" s="107">
        <v>0</v>
      </c>
      <c r="P207" s="113">
        <f t="shared" si="358"/>
        <v>0</v>
      </c>
      <c r="Q207" s="85">
        <f t="shared" si="441"/>
        <v>0</v>
      </c>
      <c r="R207" s="153"/>
      <c r="S207" s="154"/>
      <c r="T207" s="154">
        <f t="shared" si="484"/>
        <v>0</v>
      </c>
      <c r="U207" s="87" t="str">
        <f t="shared" si="485"/>
        <v>NONE</v>
      </c>
      <c r="V207" s="97"/>
      <c r="W207" s="146"/>
      <c r="X207" s="89">
        <f t="shared" si="412"/>
        <v>0</v>
      </c>
      <c r="Y207" s="154"/>
      <c r="Z207" s="113">
        <f t="shared" si="486"/>
        <v>0</v>
      </c>
      <c r="AA207" s="113">
        <f t="shared" si="487"/>
        <v>0</v>
      </c>
      <c r="AB207" s="113"/>
      <c r="AC207" s="155">
        <f t="shared" si="488"/>
        <v>0</v>
      </c>
      <c r="AD207" s="113"/>
      <c r="AE207" s="113">
        <f t="shared" si="489"/>
        <v>0</v>
      </c>
      <c r="AF207" s="113">
        <f>IF(AG207&gt;0,AG102:AG207,0)</f>
        <v>0</v>
      </c>
      <c r="AG207" s="113">
        <f t="shared" si="490"/>
        <v>0</v>
      </c>
      <c r="AI207">
        <f t="shared" si="491"/>
        <v>0</v>
      </c>
      <c r="AJ207">
        <f t="shared" si="492"/>
        <v>0</v>
      </c>
      <c r="AK207">
        <f t="shared" si="493"/>
        <v>0</v>
      </c>
      <c r="AL207">
        <f t="shared" si="494"/>
        <v>0</v>
      </c>
      <c r="AN207">
        <f t="shared" si="495"/>
        <v>0</v>
      </c>
      <c r="AO207">
        <f t="shared" si="496"/>
        <v>0</v>
      </c>
      <c r="AP207">
        <f t="shared" si="497"/>
        <v>0</v>
      </c>
      <c r="AQ207">
        <f t="shared" si="498"/>
        <v>0</v>
      </c>
    </row>
    <row r="208" spans="2:43" x14ac:dyDescent="0.25">
      <c r="B208" s="86"/>
      <c r="C208" s="86"/>
      <c r="D208" s="84"/>
      <c r="E208" s="85">
        <f t="shared" si="482"/>
        <v>0</v>
      </c>
      <c r="F208" s="85">
        <f t="shared" si="483"/>
        <v>1</v>
      </c>
      <c r="G208" s="84"/>
      <c r="H208" s="86">
        <v>0</v>
      </c>
      <c r="I208" s="85"/>
      <c r="J208" s="84"/>
      <c r="K208" s="84"/>
      <c r="L208" s="146"/>
      <c r="M208" s="96"/>
      <c r="N208" s="85"/>
      <c r="O208" s="107">
        <v>0</v>
      </c>
      <c r="P208" s="113">
        <f t="shared" ref="P208" si="519">ROUND((O208*0.4),0)</f>
        <v>0</v>
      </c>
      <c r="Q208" s="85">
        <f t="shared" si="441"/>
        <v>0</v>
      </c>
      <c r="R208" s="153"/>
      <c r="S208" s="154"/>
      <c r="T208" s="154">
        <f t="shared" si="484"/>
        <v>0</v>
      </c>
      <c r="U208" s="87" t="str">
        <f t="shared" si="485"/>
        <v>NONE</v>
      </c>
      <c r="V208" s="97"/>
      <c r="W208" s="146"/>
      <c r="X208" s="89">
        <f t="shared" si="412"/>
        <v>0</v>
      </c>
      <c r="Y208" s="154"/>
      <c r="Z208" s="113">
        <f t="shared" si="486"/>
        <v>0</v>
      </c>
      <c r="AA208" s="113">
        <f t="shared" si="487"/>
        <v>0</v>
      </c>
      <c r="AB208" s="113"/>
      <c r="AC208" s="155">
        <f t="shared" si="488"/>
        <v>0</v>
      </c>
      <c r="AD208" s="113"/>
      <c r="AE208" s="113">
        <f t="shared" si="489"/>
        <v>0</v>
      </c>
      <c r="AF208" s="113">
        <f>IF(AG208&gt;0,AG103:AG208,0)</f>
        <v>0</v>
      </c>
      <c r="AG208" s="113">
        <f t="shared" si="490"/>
        <v>0</v>
      </c>
      <c r="AI208">
        <f t="shared" si="491"/>
        <v>0</v>
      </c>
      <c r="AJ208">
        <f t="shared" si="492"/>
        <v>0</v>
      </c>
      <c r="AK208">
        <f t="shared" si="493"/>
        <v>0</v>
      </c>
      <c r="AL208">
        <f t="shared" si="494"/>
        <v>0</v>
      </c>
      <c r="AN208">
        <f t="shared" si="495"/>
        <v>0</v>
      </c>
      <c r="AO208">
        <f t="shared" si="496"/>
        <v>0</v>
      </c>
      <c r="AP208">
        <f t="shared" si="497"/>
        <v>0</v>
      </c>
      <c r="AQ208">
        <f t="shared" si="498"/>
        <v>0</v>
      </c>
    </row>
    <row r="209" spans="1:44" x14ac:dyDescent="0.25">
      <c r="B209" s="86"/>
      <c r="C209" s="86"/>
      <c r="D209" s="84"/>
      <c r="E209" s="85">
        <f t="shared" si="482"/>
        <v>0</v>
      </c>
      <c r="F209" s="85">
        <f t="shared" si="483"/>
        <v>1</v>
      </c>
      <c r="G209" s="180"/>
      <c r="H209" s="86">
        <v>0</v>
      </c>
      <c r="I209" s="85"/>
      <c r="J209" s="84"/>
      <c r="K209" s="84"/>
      <c r="L209" s="146"/>
      <c r="M209" s="96"/>
      <c r="N209" s="85"/>
      <c r="O209" s="107">
        <v>0</v>
      </c>
      <c r="P209" s="113">
        <f t="shared" si="358"/>
        <v>0</v>
      </c>
      <c r="Q209" s="85">
        <f t="shared" si="441"/>
        <v>0</v>
      </c>
      <c r="R209" s="84"/>
      <c r="S209" s="154"/>
      <c r="T209" s="154">
        <f t="shared" si="484"/>
        <v>0</v>
      </c>
      <c r="U209" s="87" t="str">
        <f t="shared" si="485"/>
        <v>NONE</v>
      </c>
      <c r="V209" s="97"/>
      <c r="W209" s="146"/>
      <c r="X209" s="89">
        <f t="shared" si="412"/>
        <v>0</v>
      </c>
      <c r="Y209" s="154"/>
      <c r="Z209" s="113">
        <f t="shared" si="486"/>
        <v>0</v>
      </c>
      <c r="AA209" s="113">
        <f t="shared" si="487"/>
        <v>0</v>
      </c>
      <c r="AB209" s="113"/>
      <c r="AC209" s="155">
        <f t="shared" si="488"/>
        <v>0</v>
      </c>
      <c r="AD209" s="113"/>
      <c r="AE209" s="113">
        <f t="shared" si="489"/>
        <v>0</v>
      </c>
      <c r="AF209" s="113">
        <f>IF(AG209&gt;0,AG104:AG217,0)</f>
        <v>0</v>
      </c>
      <c r="AG209" s="113">
        <f t="shared" si="490"/>
        <v>0</v>
      </c>
      <c r="AI209">
        <f t="shared" si="491"/>
        <v>0</v>
      </c>
      <c r="AJ209">
        <f t="shared" si="492"/>
        <v>0</v>
      </c>
      <c r="AK209">
        <f t="shared" si="493"/>
        <v>0</v>
      </c>
      <c r="AL209">
        <f t="shared" si="494"/>
        <v>0</v>
      </c>
      <c r="AN209">
        <f t="shared" si="495"/>
        <v>0</v>
      </c>
      <c r="AO209">
        <f t="shared" si="496"/>
        <v>0</v>
      </c>
      <c r="AP209">
        <f t="shared" si="497"/>
        <v>0</v>
      </c>
      <c r="AQ209">
        <f t="shared" si="498"/>
        <v>0</v>
      </c>
    </row>
    <row r="210" spans="1:44" x14ac:dyDescent="0.25">
      <c r="E210" s="84">
        <f>IF(D169=$B$12,H210,0)</f>
        <v>0</v>
      </c>
      <c r="F210" s="84">
        <f t="shared" si="483"/>
        <v>1</v>
      </c>
      <c r="G210" s="84"/>
      <c r="H210" s="86">
        <v>0</v>
      </c>
      <c r="I210" s="85"/>
      <c r="J210" s="84"/>
      <c r="K210" s="84"/>
      <c r="L210" s="90"/>
      <c r="M210" s="96"/>
      <c r="N210" s="84"/>
      <c r="O210" s="107">
        <v>0</v>
      </c>
      <c r="P210" s="113">
        <f t="shared" si="358"/>
        <v>0</v>
      </c>
      <c r="Q210" s="85">
        <f t="shared" si="441"/>
        <v>0</v>
      </c>
      <c r="R210" s="57"/>
      <c r="S210" s="89"/>
      <c r="T210" s="89">
        <f t="shared" si="484"/>
        <v>0</v>
      </c>
      <c r="U210" s="87" t="str">
        <f t="shared" si="485"/>
        <v>NONE</v>
      </c>
      <c r="V210" s="97"/>
      <c r="W210" s="90"/>
      <c r="X210" s="89">
        <f t="shared" si="412"/>
        <v>0</v>
      </c>
      <c r="Y210" s="89"/>
      <c r="Z210" s="58">
        <f t="shared" si="486"/>
        <v>0</v>
      </c>
      <c r="AA210" s="58">
        <f t="shared" si="487"/>
        <v>0</v>
      </c>
      <c r="AB210" s="58"/>
      <c r="AC210" s="98">
        <f t="shared" si="488"/>
        <v>0</v>
      </c>
      <c r="AD210" s="58"/>
      <c r="AE210" s="58">
        <f t="shared" si="489"/>
        <v>0</v>
      </c>
      <c r="AF210" s="58">
        <f>IF(AG210&gt;0,AG107:AG210,0)</f>
        <v>0</v>
      </c>
      <c r="AG210" s="58">
        <f t="shared" si="490"/>
        <v>0</v>
      </c>
      <c r="AI210">
        <f t="shared" si="491"/>
        <v>0</v>
      </c>
      <c r="AJ210">
        <f t="shared" si="492"/>
        <v>0</v>
      </c>
      <c r="AK210">
        <f t="shared" si="493"/>
        <v>0</v>
      </c>
      <c r="AL210">
        <f t="shared" si="494"/>
        <v>0</v>
      </c>
      <c r="AN210">
        <f t="shared" si="495"/>
        <v>0</v>
      </c>
      <c r="AO210">
        <f t="shared" si="496"/>
        <v>0</v>
      </c>
      <c r="AP210">
        <f t="shared" si="497"/>
        <v>0</v>
      </c>
      <c r="AQ210">
        <f t="shared" si="498"/>
        <v>0</v>
      </c>
    </row>
    <row r="211" spans="1:44" s="84" customFormat="1" x14ac:dyDescent="0.25">
      <c r="B211" s="148"/>
      <c r="E211" s="84">
        <f t="shared" si="482"/>
        <v>0</v>
      </c>
      <c r="F211" s="84">
        <f t="shared" si="483"/>
        <v>1</v>
      </c>
      <c r="H211" s="86">
        <v>0</v>
      </c>
      <c r="I211" s="85"/>
      <c r="L211" s="178"/>
      <c r="M211" s="96"/>
      <c r="O211" s="107">
        <v>0</v>
      </c>
      <c r="P211" s="113">
        <f t="shared" si="358"/>
        <v>0</v>
      </c>
      <c r="Q211" s="85">
        <f t="shared" si="441"/>
        <v>0</v>
      </c>
      <c r="R211" s="57"/>
      <c r="S211" s="89"/>
      <c r="T211" s="89">
        <f t="shared" si="484"/>
        <v>0</v>
      </c>
      <c r="U211" s="87" t="str">
        <f t="shared" si="485"/>
        <v>NONE</v>
      </c>
      <c r="V211" s="97"/>
      <c r="W211" s="90"/>
      <c r="X211" s="89">
        <f t="shared" si="412"/>
        <v>0</v>
      </c>
      <c r="Y211" s="89"/>
      <c r="Z211" s="58">
        <f t="shared" si="486"/>
        <v>0</v>
      </c>
      <c r="AA211" s="58">
        <f t="shared" si="487"/>
        <v>0</v>
      </c>
      <c r="AB211" s="58"/>
      <c r="AC211" s="98">
        <f t="shared" si="488"/>
        <v>0</v>
      </c>
      <c r="AD211" s="58"/>
      <c r="AE211" s="58">
        <f t="shared" si="489"/>
        <v>0</v>
      </c>
      <c r="AF211" s="58">
        <f>IF(AG211&gt;0,AG107:AG211,0)</f>
        <v>0</v>
      </c>
      <c r="AG211" s="58">
        <f t="shared" si="490"/>
        <v>0</v>
      </c>
      <c r="AI211" s="84">
        <f t="shared" si="491"/>
        <v>0</v>
      </c>
      <c r="AJ211" s="84">
        <f t="shared" si="492"/>
        <v>0</v>
      </c>
      <c r="AK211" s="84">
        <f t="shared" si="493"/>
        <v>0</v>
      </c>
      <c r="AL211" s="84">
        <f t="shared" si="494"/>
        <v>0</v>
      </c>
      <c r="AN211" s="84">
        <f t="shared" si="495"/>
        <v>0</v>
      </c>
      <c r="AO211" s="84">
        <f t="shared" si="496"/>
        <v>0</v>
      </c>
      <c r="AP211" s="84">
        <f t="shared" si="497"/>
        <v>0</v>
      </c>
      <c r="AQ211" s="84">
        <f t="shared" si="498"/>
        <v>0</v>
      </c>
    </row>
    <row r="212" spans="1:44" x14ac:dyDescent="0.25">
      <c r="B212" s="86"/>
      <c r="C212" s="86"/>
      <c r="D212" s="85"/>
      <c r="E212" s="84">
        <f t="shared" si="482"/>
        <v>0</v>
      </c>
      <c r="F212" s="84">
        <f t="shared" si="483"/>
        <v>1</v>
      </c>
      <c r="G212" s="85"/>
      <c r="H212" s="86">
        <v>0</v>
      </c>
      <c r="I212" s="85"/>
      <c r="J212" s="84"/>
      <c r="K212" s="84"/>
      <c r="L212" s="90"/>
      <c r="M212" s="96"/>
      <c r="N212" s="84"/>
      <c r="O212" s="107">
        <v>0</v>
      </c>
      <c r="P212" s="113">
        <f t="shared" si="358"/>
        <v>0</v>
      </c>
      <c r="Q212" s="85">
        <f t="shared" si="441"/>
        <v>0</v>
      </c>
      <c r="R212" s="57"/>
      <c r="S212" s="89"/>
      <c r="T212" s="89">
        <f t="shared" si="484"/>
        <v>0</v>
      </c>
      <c r="U212" s="87" t="str">
        <f t="shared" si="485"/>
        <v>NONE</v>
      </c>
      <c r="V212" s="97"/>
      <c r="W212" s="90"/>
      <c r="X212" s="89">
        <f t="shared" si="412"/>
        <v>0</v>
      </c>
      <c r="Y212" s="89"/>
      <c r="Z212" s="58">
        <f t="shared" si="486"/>
        <v>0</v>
      </c>
      <c r="AA212" s="58">
        <f t="shared" si="487"/>
        <v>0</v>
      </c>
      <c r="AB212" s="58"/>
      <c r="AC212" s="98">
        <f t="shared" si="488"/>
        <v>0</v>
      </c>
      <c r="AD212" s="58"/>
      <c r="AE212" s="58">
        <f t="shared" si="489"/>
        <v>0</v>
      </c>
      <c r="AF212" s="58">
        <f>IF(AG212&gt;0,AG107:AG212,0)</f>
        <v>0</v>
      </c>
      <c r="AG212" s="58">
        <f t="shared" si="490"/>
        <v>0</v>
      </c>
      <c r="AI212">
        <f t="shared" si="491"/>
        <v>0</v>
      </c>
      <c r="AJ212">
        <f t="shared" si="492"/>
        <v>0</v>
      </c>
      <c r="AK212">
        <f t="shared" si="493"/>
        <v>0</v>
      </c>
      <c r="AL212">
        <f t="shared" si="494"/>
        <v>0</v>
      </c>
      <c r="AN212">
        <f t="shared" si="495"/>
        <v>0</v>
      </c>
      <c r="AO212">
        <f t="shared" si="496"/>
        <v>0</v>
      </c>
      <c r="AP212">
        <f t="shared" si="497"/>
        <v>0</v>
      </c>
      <c r="AQ212">
        <f t="shared" si="498"/>
        <v>0</v>
      </c>
    </row>
    <row r="213" spans="1:44" x14ac:dyDescent="0.25">
      <c r="B213" s="86" t="s">
        <v>634</v>
      </c>
      <c r="C213" s="84" t="s">
        <v>633</v>
      </c>
      <c r="D213" s="85" t="s">
        <v>62</v>
      </c>
      <c r="E213" s="84">
        <f t="shared" si="482"/>
        <v>0</v>
      </c>
      <c r="F213" s="84">
        <f t="shared" si="483"/>
        <v>1</v>
      </c>
      <c r="G213" s="196" t="s">
        <v>637</v>
      </c>
      <c r="H213" s="86">
        <v>21</v>
      </c>
      <c r="I213" s="85"/>
      <c r="J213" s="84" t="s">
        <v>636</v>
      </c>
      <c r="K213" s="84" t="s">
        <v>56</v>
      </c>
      <c r="L213" s="90">
        <v>0</v>
      </c>
      <c r="M213" s="96" t="s">
        <v>37</v>
      </c>
      <c r="N213" s="84"/>
      <c r="O213" s="107">
        <v>4112</v>
      </c>
      <c r="P213" s="113">
        <f t="shared" si="358"/>
        <v>1645</v>
      </c>
      <c r="Q213" s="85">
        <f t="shared" si="441"/>
        <v>3147</v>
      </c>
      <c r="R213" s="57" t="s">
        <v>635</v>
      </c>
      <c r="S213" s="89">
        <v>4</v>
      </c>
      <c r="T213" s="89">
        <f t="shared" si="484"/>
        <v>180</v>
      </c>
      <c r="U213" s="87" t="str">
        <f t="shared" si="485"/>
        <v>PAYPAL</v>
      </c>
      <c r="V213" s="97">
        <v>2</v>
      </c>
      <c r="W213" s="90" t="s">
        <v>57</v>
      </c>
      <c r="X213" s="89">
        <f t="shared" si="412"/>
        <v>4792</v>
      </c>
      <c r="Y213" s="89"/>
      <c r="Z213" s="58">
        <f t="shared" si="486"/>
        <v>2647</v>
      </c>
      <c r="AA213" s="58">
        <f t="shared" si="487"/>
        <v>130</v>
      </c>
      <c r="AB213" s="58"/>
      <c r="AC213" s="98">
        <f t="shared" si="488"/>
        <v>4162</v>
      </c>
      <c r="AD213" s="58"/>
      <c r="AE213" s="58">
        <f t="shared" si="489"/>
        <v>30</v>
      </c>
      <c r="AF213" s="58">
        <f>IF(AG213&gt;0,AG108:AG213,0)</f>
        <v>4132</v>
      </c>
      <c r="AG213" s="58">
        <f t="shared" si="490"/>
        <v>4132</v>
      </c>
      <c r="AI213">
        <f t="shared" si="491"/>
        <v>0</v>
      </c>
      <c r="AJ213">
        <f t="shared" si="492"/>
        <v>0</v>
      </c>
      <c r="AK213">
        <f t="shared" si="493"/>
        <v>0</v>
      </c>
      <c r="AL213">
        <f t="shared" si="494"/>
        <v>3932</v>
      </c>
      <c r="AN213">
        <f t="shared" si="495"/>
        <v>0</v>
      </c>
      <c r="AO213">
        <f t="shared" si="496"/>
        <v>0</v>
      </c>
      <c r="AP213">
        <f t="shared" si="497"/>
        <v>0</v>
      </c>
      <c r="AQ213">
        <f t="shared" si="498"/>
        <v>3932</v>
      </c>
    </row>
    <row r="214" spans="1:44" x14ac:dyDescent="0.25">
      <c r="B214" s="103" t="s">
        <v>83</v>
      </c>
      <c r="C214" s="86" t="s">
        <v>43</v>
      </c>
      <c r="D214" s="84" t="s">
        <v>43</v>
      </c>
      <c r="E214" s="84">
        <f t="shared" si="482"/>
        <v>5</v>
      </c>
      <c r="F214" s="84">
        <f t="shared" si="483"/>
        <v>0</v>
      </c>
      <c r="G214" s="108" t="s">
        <v>632</v>
      </c>
      <c r="H214" s="86">
        <v>5</v>
      </c>
      <c r="I214" s="85"/>
      <c r="J214" s="84" t="s">
        <v>64</v>
      </c>
      <c r="K214" s="84" t="s">
        <v>56</v>
      </c>
      <c r="L214" s="90">
        <v>3</v>
      </c>
      <c r="M214" s="96" t="s">
        <v>37</v>
      </c>
      <c r="N214" s="84"/>
      <c r="O214" s="107">
        <v>0</v>
      </c>
      <c r="P214" s="113">
        <f t="shared" si="358"/>
        <v>0</v>
      </c>
      <c r="Q214" s="85">
        <f t="shared" si="441"/>
        <v>0</v>
      </c>
      <c r="R214" s="57"/>
      <c r="S214" s="89"/>
      <c r="T214" s="89">
        <f t="shared" si="484"/>
        <v>0</v>
      </c>
      <c r="U214" s="87" t="str">
        <f t="shared" si="485"/>
        <v>NONE</v>
      </c>
      <c r="V214" s="97"/>
      <c r="W214" s="90"/>
      <c r="X214" s="89">
        <f t="shared" si="412"/>
        <v>0</v>
      </c>
      <c r="Y214" s="89"/>
      <c r="Z214" s="58">
        <f t="shared" si="486"/>
        <v>0</v>
      </c>
      <c r="AA214" s="58">
        <f t="shared" si="487"/>
        <v>130</v>
      </c>
      <c r="AB214" s="58"/>
      <c r="AC214" s="98">
        <f t="shared" si="488"/>
        <v>-130</v>
      </c>
      <c r="AD214" s="58"/>
      <c r="AE214" s="58">
        <f t="shared" si="489"/>
        <v>0</v>
      </c>
      <c r="AF214" s="58">
        <f>IF(AG214&gt;0,AG109:AG214,0)</f>
        <v>0</v>
      </c>
      <c r="AG214" s="58">
        <f t="shared" si="490"/>
        <v>-130</v>
      </c>
      <c r="AI214">
        <f t="shared" si="491"/>
        <v>0</v>
      </c>
      <c r="AJ214">
        <f t="shared" si="492"/>
        <v>0</v>
      </c>
      <c r="AK214">
        <f t="shared" si="493"/>
        <v>0</v>
      </c>
      <c r="AL214">
        <f t="shared" si="494"/>
        <v>0</v>
      </c>
      <c r="AN214">
        <f t="shared" si="495"/>
        <v>0</v>
      </c>
      <c r="AO214">
        <f t="shared" si="496"/>
        <v>0</v>
      </c>
      <c r="AP214">
        <f t="shared" si="497"/>
        <v>0</v>
      </c>
      <c r="AQ214">
        <f t="shared" si="498"/>
        <v>0</v>
      </c>
    </row>
    <row r="215" spans="1:44" x14ac:dyDescent="0.25">
      <c r="B215" s="103" t="s">
        <v>83</v>
      </c>
      <c r="C215" s="86" t="s">
        <v>43</v>
      </c>
      <c r="D215" s="84" t="s">
        <v>43</v>
      </c>
      <c r="E215" s="84">
        <f t="shared" si="482"/>
        <v>7</v>
      </c>
      <c r="F215" s="84">
        <f t="shared" si="483"/>
        <v>0</v>
      </c>
      <c r="G215" s="148" t="s">
        <v>666</v>
      </c>
      <c r="H215" s="86">
        <v>7</v>
      </c>
      <c r="I215" s="85"/>
      <c r="J215" s="84" t="s">
        <v>64</v>
      </c>
      <c r="K215" s="84" t="s">
        <v>56</v>
      </c>
      <c r="L215" s="90">
        <v>3</v>
      </c>
      <c r="M215" s="96" t="s">
        <v>37</v>
      </c>
      <c r="N215" s="84"/>
      <c r="O215" s="107">
        <v>0</v>
      </c>
      <c r="P215" s="113">
        <f t="shared" si="358"/>
        <v>0</v>
      </c>
      <c r="Q215" s="85">
        <f t="shared" si="441"/>
        <v>0</v>
      </c>
      <c r="R215" s="57"/>
      <c r="S215" s="89"/>
      <c r="T215" s="89">
        <f t="shared" si="484"/>
        <v>0</v>
      </c>
      <c r="U215" s="87" t="str">
        <f t="shared" si="485"/>
        <v>NONE</v>
      </c>
      <c r="V215" s="97"/>
      <c r="W215" s="90"/>
      <c r="X215" s="89">
        <f t="shared" si="412"/>
        <v>0</v>
      </c>
      <c r="Y215" s="89"/>
      <c r="Z215" s="58">
        <f t="shared" si="486"/>
        <v>0</v>
      </c>
      <c r="AA215" s="58">
        <f t="shared" si="487"/>
        <v>130</v>
      </c>
      <c r="AB215" s="58"/>
      <c r="AC215" s="98">
        <f t="shared" si="488"/>
        <v>-130</v>
      </c>
      <c r="AD215" s="58"/>
      <c r="AE215" s="58">
        <f t="shared" si="489"/>
        <v>0</v>
      </c>
      <c r="AF215" s="58">
        <f>IF(AG215&gt;0,AG110:AG215,0)</f>
        <v>0</v>
      </c>
      <c r="AG215" s="58">
        <f t="shared" si="490"/>
        <v>-130</v>
      </c>
      <c r="AI215">
        <f t="shared" si="491"/>
        <v>0</v>
      </c>
      <c r="AJ215">
        <f t="shared" si="492"/>
        <v>0</v>
      </c>
      <c r="AK215">
        <f t="shared" si="493"/>
        <v>0</v>
      </c>
      <c r="AL215">
        <f t="shared" si="494"/>
        <v>0</v>
      </c>
      <c r="AN215">
        <f t="shared" si="495"/>
        <v>0</v>
      </c>
      <c r="AO215">
        <f t="shared" si="496"/>
        <v>0</v>
      </c>
      <c r="AP215">
        <f t="shared" si="497"/>
        <v>0</v>
      </c>
      <c r="AQ215">
        <f t="shared" si="498"/>
        <v>0</v>
      </c>
    </row>
    <row r="216" spans="1:44" x14ac:dyDescent="0.25">
      <c r="B216" s="86" t="s">
        <v>660</v>
      </c>
      <c r="C216" s="86"/>
      <c r="D216" s="85"/>
      <c r="E216" s="84">
        <f t="shared" si="482"/>
        <v>0</v>
      </c>
      <c r="F216" s="84">
        <f t="shared" si="483"/>
        <v>1</v>
      </c>
      <c r="G216" s="85"/>
      <c r="H216" s="86">
        <v>0</v>
      </c>
      <c r="I216" s="85"/>
      <c r="J216" s="84"/>
      <c r="K216" s="84"/>
      <c r="L216" s="90"/>
      <c r="M216" s="96"/>
      <c r="N216" s="84"/>
      <c r="O216" s="107">
        <v>0</v>
      </c>
      <c r="P216" s="113">
        <f t="shared" si="358"/>
        <v>0</v>
      </c>
      <c r="Q216" s="85">
        <f t="shared" si="441"/>
        <v>0</v>
      </c>
      <c r="R216" s="57"/>
      <c r="S216" s="89"/>
      <c r="T216" s="89">
        <f t="shared" si="484"/>
        <v>0</v>
      </c>
      <c r="U216" s="87" t="str">
        <f t="shared" si="485"/>
        <v>NONE</v>
      </c>
      <c r="V216" s="97"/>
      <c r="W216" s="90"/>
      <c r="X216" s="89">
        <f t="shared" si="412"/>
        <v>0</v>
      </c>
      <c r="Y216" s="89"/>
      <c r="Z216" s="58">
        <f t="shared" si="486"/>
        <v>0</v>
      </c>
      <c r="AA216" s="58">
        <f t="shared" si="487"/>
        <v>0</v>
      </c>
      <c r="AB216" s="58"/>
      <c r="AC216" s="98">
        <f t="shared" si="488"/>
        <v>0</v>
      </c>
      <c r="AD216" s="58"/>
      <c r="AE216" s="58">
        <f t="shared" si="489"/>
        <v>0</v>
      </c>
      <c r="AF216" s="58">
        <f>IF(AG216&gt;0,AG110:AG216,0)</f>
        <v>0</v>
      </c>
      <c r="AG216" s="58">
        <f t="shared" si="490"/>
        <v>0</v>
      </c>
      <c r="AI216">
        <f t="shared" si="491"/>
        <v>0</v>
      </c>
      <c r="AJ216">
        <f t="shared" si="492"/>
        <v>0</v>
      </c>
      <c r="AK216">
        <f t="shared" si="493"/>
        <v>0</v>
      </c>
      <c r="AL216">
        <f t="shared" si="494"/>
        <v>0</v>
      </c>
      <c r="AN216">
        <f t="shared" si="495"/>
        <v>0</v>
      </c>
      <c r="AO216">
        <f t="shared" si="496"/>
        <v>0</v>
      </c>
      <c r="AP216">
        <f t="shared" si="497"/>
        <v>0</v>
      </c>
      <c r="AQ216">
        <f t="shared" si="498"/>
        <v>0</v>
      </c>
    </row>
    <row r="217" spans="1:44" x14ac:dyDescent="0.25">
      <c r="B217" s="84"/>
      <c r="D217" s="84"/>
      <c r="E217" s="84">
        <f t="shared" si="482"/>
        <v>0</v>
      </c>
      <c r="F217" s="84">
        <f t="shared" si="483"/>
        <v>1</v>
      </c>
      <c r="G217" s="84"/>
      <c r="H217" s="85"/>
      <c r="I217" s="85"/>
      <c r="J217" s="84"/>
      <c r="K217" s="84"/>
      <c r="L217" s="90"/>
      <c r="M217" s="96"/>
      <c r="N217" s="84"/>
      <c r="O217" s="107">
        <v>0</v>
      </c>
      <c r="P217" s="113">
        <f t="shared" si="358"/>
        <v>0</v>
      </c>
      <c r="Q217" s="85">
        <f t="shared" si="441"/>
        <v>0</v>
      </c>
      <c r="R217" s="57"/>
      <c r="S217" s="89"/>
      <c r="T217" s="89">
        <f t="shared" si="484"/>
        <v>0</v>
      </c>
      <c r="U217" s="87" t="str">
        <f t="shared" si="485"/>
        <v>NONE</v>
      </c>
      <c r="V217" s="97"/>
      <c r="W217" s="90"/>
      <c r="X217" s="89">
        <f t="shared" si="412"/>
        <v>0</v>
      </c>
      <c r="Y217" s="89"/>
      <c r="Z217" s="58">
        <f t="shared" si="486"/>
        <v>0</v>
      </c>
      <c r="AA217" s="58">
        <f t="shared" si="487"/>
        <v>0</v>
      </c>
      <c r="AB217" s="58"/>
      <c r="AC217" s="98">
        <f t="shared" si="488"/>
        <v>0</v>
      </c>
      <c r="AD217" s="58"/>
      <c r="AE217" s="58">
        <f t="shared" si="489"/>
        <v>0</v>
      </c>
      <c r="AF217" s="58">
        <f>IF(AG217&gt;0,AG109:AG217,0)</f>
        <v>0</v>
      </c>
      <c r="AG217" s="58">
        <f t="shared" si="490"/>
        <v>0</v>
      </c>
      <c r="AI217">
        <f t="shared" si="491"/>
        <v>0</v>
      </c>
      <c r="AJ217">
        <f t="shared" si="492"/>
        <v>0</v>
      </c>
      <c r="AK217">
        <f t="shared" si="493"/>
        <v>0</v>
      </c>
      <c r="AL217">
        <f t="shared" si="494"/>
        <v>0</v>
      </c>
      <c r="AN217">
        <f t="shared" si="495"/>
        <v>0</v>
      </c>
      <c r="AO217">
        <f t="shared" si="496"/>
        <v>0</v>
      </c>
      <c r="AP217">
        <f t="shared" si="497"/>
        <v>0</v>
      </c>
      <c r="AQ217">
        <f t="shared" si="498"/>
        <v>0</v>
      </c>
    </row>
    <row r="218" spans="1:44" x14ac:dyDescent="0.25">
      <c r="A218" s="45"/>
      <c r="B218" s="194">
        <f>COUNTIFS(D$185:D217,"&lt;&gt;NA")-COUNTIFS(D$185:D217,"="&amp;D1)</f>
        <v>12</v>
      </c>
      <c r="C218" s="174" t="s">
        <v>479</v>
      </c>
      <c r="D218" s="46">
        <f>SUM(E185:E217)</f>
        <v>119</v>
      </c>
      <c r="E218" s="46"/>
      <c r="F218" s="46"/>
      <c r="G218" s="63" t="s">
        <v>219</v>
      </c>
      <c r="H218" s="62">
        <f>SUM(H184:H217)-SUM(E185:E217)</f>
        <v>145</v>
      </c>
      <c r="I218" s="62"/>
      <c r="J218" s="61">
        <f>ROUND(H218/7,0)</f>
        <v>21</v>
      </c>
      <c r="K218" s="61" t="s">
        <v>218</v>
      </c>
      <c r="L218" s="63" t="s">
        <v>220</v>
      </c>
      <c r="M218" s="151">
        <f>ROUND(AF218/J218,0)</f>
        <v>1483</v>
      </c>
      <c r="N218" s="45"/>
      <c r="O218" s="82">
        <f>SUM(O185:O217)</f>
        <v>31587</v>
      </c>
      <c r="P218" s="49"/>
      <c r="Q218" s="80">
        <f>Z218</f>
        <v>17712</v>
      </c>
      <c r="R218" s="79" t="s">
        <v>258</v>
      </c>
      <c r="S218" s="126"/>
      <c r="T218" s="73"/>
      <c r="U218" s="48"/>
      <c r="V218" s="48"/>
      <c r="W218" s="47"/>
      <c r="X218" s="49"/>
      <c r="Y218" s="49">
        <f>Z218</f>
        <v>17712</v>
      </c>
      <c r="Z218" s="49">
        <f>SUM(Z185:Z217)</f>
        <v>17712</v>
      </c>
      <c r="AA218" s="49">
        <f>SUM(AA185:AA217)</f>
        <v>2860</v>
      </c>
      <c r="AB218" s="49">
        <f>AA218</f>
        <v>2860</v>
      </c>
      <c r="AC218" s="45"/>
      <c r="AD218" s="49"/>
      <c r="AE218" s="49">
        <f>SUM(AE185:AE217)</f>
        <v>360</v>
      </c>
      <c r="AF218" s="49">
        <f>SUM(AF185:AF217)</f>
        <v>31134</v>
      </c>
      <c r="AG218" s="82">
        <f>SUM(AG185:AG217)</f>
        <v>29834</v>
      </c>
      <c r="AH218" s="45">
        <f>AG218</f>
        <v>29834</v>
      </c>
      <c r="AI218" s="129">
        <f>SUM(AI185:AI217)</f>
        <v>10546</v>
      </c>
      <c r="AJ218" s="129">
        <f>SUM(AJ185:AJ217)</f>
        <v>0</v>
      </c>
      <c r="AK218" s="129">
        <f>SUM(AK185:AK217)</f>
        <v>0</v>
      </c>
      <c r="AL218" s="129">
        <f>SUM(AL185:AL217)</f>
        <v>3932</v>
      </c>
      <c r="AM218" s="131">
        <f>SUM(AI218:AL218)</f>
        <v>14478</v>
      </c>
      <c r="AN218" s="129">
        <f>SUM(AN185:AN217)</f>
        <v>10546</v>
      </c>
      <c r="AO218" s="129">
        <f>SUM(AO185:AO217)</f>
        <v>0</v>
      </c>
      <c r="AP218" s="129">
        <f>SUM(AP185:AP217)</f>
        <v>0</v>
      </c>
      <c r="AQ218" s="129">
        <f>SUM(AQ185:AQ217)</f>
        <v>3932</v>
      </c>
      <c r="AR218" s="131">
        <f>SUM(AN218:AQ218)</f>
        <v>14478</v>
      </c>
    </row>
    <row r="219" spans="1:44" s="84" customFormat="1" ht="21" customHeight="1" x14ac:dyDescent="0.25">
      <c r="A219" s="130"/>
      <c r="B219" s="132"/>
      <c r="C219" s="133"/>
      <c r="D219" s="132"/>
      <c r="E219" s="132"/>
      <c r="F219" s="132"/>
      <c r="G219" s="134"/>
      <c r="H219" s="135"/>
      <c r="I219" s="135"/>
      <c r="J219" s="136"/>
      <c r="K219" s="136"/>
      <c r="L219" s="134"/>
      <c r="M219" s="137"/>
      <c r="N219" s="130"/>
      <c r="O219" s="138"/>
      <c r="P219" s="139"/>
      <c r="Q219" s="140"/>
      <c r="R219" s="141"/>
      <c r="S219" s="142"/>
      <c r="T219" s="143"/>
      <c r="U219" s="144"/>
      <c r="V219" s="144"/>
      <c r="W219" s="145"/>
      <c r="X219" s="139"/>
      <c r="Y219" s="139"/>
      <c r="Z219" s="139"/>
      <c r="AA219" s="139"/>
      <c r="AB219" s="139"/>
      <c r="AC219" s="130"/>
      <c r="AD219" s="139"/>
      <c r="AE219" s="139"/>
      <c r="AF219" s="139"/>
      <c r="AG219" s="138"/>
      <c r="AH219" s="130"/>
      <c r="AI219" s="119">
        <f>ROUNDUP(AI218*0.04,0)</f>
        <v>422</v>
      </c>
      <c r="AJ219" s="119">
        <f t="shared" ref="AJ219:AL219" si="520">ROUNDUP(AJ218*0.04,0)</f>
        <v>0</v>
      </c>
      <c r="AK219" s="119">
        <f t="shared" si="520"/>
        <v>0</v>
      </c>
      <c r="AL219" s="119">
        <f t="shared" si="520"/>
        <v>158</v>
      </c>
      <c r="AM219" s="131">
        <f t="shared" ref="AM219" si="521">SUM(AI219:AL219)</f>
        <v>580</v>
      </c>
      <c r="AN219" s="119">
        <f>ROUNDUP(AN218*0.06,0)</f>
        <v>633</v>
      </c>
      <c r="AO219" s="119">
        <f t="shared" ref="AO219:AQ219" si="522">ROUNDUP(AO218*0.06,0)</f>
        <v>0</v>
      </c>
      <c r="AP219" s="119">
        <f t="shared" si="522"/>
        <v>0</v>
      </c>
      <c r="AQ219" s="119">
        <f t="shared" si="522"/>
        <v>236</v>
      </c>
      <c r="AR219" s="131">
        <f t="shared" ref="AR219" si="523">SUM(AN219:AQ219)</f>
        <v>869</v>
      </c>
    </row>
    <row r="220" spans="1:44" x14ac:dyDescent="0.25">
      <c r="A220" s="20"/>
      <c r="B220" s="21"/>
      <c r="C220" s="22"/>
      <c r="D220" s="21"/>
      <c r="E220" s="21"/>
      <c r="F220" s="21"/>
      <c r="G220" s="21"/>
      <c r="H220" s="21"/>
      <c r="I220" s="21"/>
      <c r="J220" s="21"/>
      <c r="K220" s="20"/>
      <c r="L220" s="23"/>
      <c r="M220" s="24"/>
      <c r="N220" s="20"/>
      <c r="O220" s="25"/>
      <c r="P220" s="25"/>
      <c r="Q220" s="20"/>
      <c r="R220" s="26"/>
      <c r="S220" s="74"/>
      <c r="T220" s="74"/>
      <c r="U220" s="27"/>
      <c r="V220" s="27"/>
      <c r="W220" s="23"/>
      <c r="X220" s="25"/>
      <c r="Y220" s="25"/>
      <c r="Z220" s="25"/>
      <c r="AA220" s="25"/>
      <c r="AB220" s="25"/>
      <c r="AC220" s="20"/>
      <c r="AD220" s="25"/>
      <c r="AE220" s="25"/>
      <c r="AF220" s="25"/>
      <c r="AG220" s="25"/>
    </row>
    <row r="221" spans="1:44" x14ac:dyDescent="0.25">
      <c r="A221" s="37"/>
      <c r="B221" s="38"/>
      <c r="C221" s="39"/>
      <c r="D221" s="38"/>
      <c r="E221" s="38"/>
      <c r="F221" s="38"/>
      <c r="G221" s="38"/>
      <c r="H221" s="38"/>
      <c r="I221" s="38"/>
      <c r="J221" s="38"/>
      <c r="K221" s="37"/>
      <c r="L221" s="40"/>
      <c r="M221" s="41"/>
      <c r="N221" s="37"/>
      <c r="O221" s="42"/>
      <c r="P221" s="42"/>
      <c r="Q221" s="37"/>
      <c r="R221" s="43"/>
      <c r="S221" s="75"/>
      <c r="T221" s="75"/>
      <c r="U221" s="44"/>
      <c r="V221" s="44"/>
      <c r="W221" s="40"/>
      <c r="X221" s="42"/>
      <c r="Y221" s="42"/>
      <c r="Z221" s="42"/>
      <c r="AA221" s="42"/>
      <c r="AB221" s="42"/>
      <c r="AC221" s="37"/>
      <c r="AD221" s="42"/>
      <c r="AE221" s="42"/>
      <c r="AF221" s="42"/>
      <c r="AG221" s="42"/>
    </row>
    <row r="222" spans="1:44" x14ac:dyDescent="0.25">
      <c r="A222" s="20"/>
      <c r="B222" s="21"/>
      <c r="C222" s="22"/>
      <c r="D222" s="21"/>
      <c r="E222" s="21"/>
      <c r="F222" s="21"/>
      <c r="G222" s="21"/>
      <c r="H222" s="21"/>
      <c r="I222" s="21"/>
      <c r="J222" s="21"/>
      <c r="K222" s="20"/>
      <c r="L222" s="23"/>
      <c r="M222" s="24"/>
      <c r="N222" s="20"/>
      <c r="O222" s="25"/>
      <c r="P222" s="25"/>
      <c r="Q222" s="20"/>
      <c r="R222" s="26"/>
      <c r="S222" s="74"/>
      <c r="T222" s="74"/>
      <c r="U222" s="27"/>
      <c r="V222" s="27"/>
      <c r="W222" s="23"/>
      <c r="X222" s="25"/>
      <c r="Y222" s="25"/>
      <c r="Z222" s="25"/>
      <c r="AA222" s="25"/>
      <c r="AB222" s="25"/>
      <c r="AC222" s="20"/>
      <c r="AD222" s="25"/>
      <c r="AE222" s="25"/>
      <c r="AF222" s="25"/>
      <c r="AG222" s="25"/>
    </row>
    <row r="223" spans="1:44" ht="15.75" x14ac:dyDescent="0.25">
      <c r="C223" s="10"/>
      <c r="G223" s="18" t="s">
        <v>123</v>
      </c>
      <c r="H223">
        <f>SUM(H17:H220)-(H108+H73+H34+H142+H183+H218)</f>
        <v>1728</v>
      </c>
      <c r="O223" s="81">
        <f>O108+O73+O34+O142</f>
        <v>155397.28</v>
      </c>
      <c r="P223" s="3" t="s">
        <v>256</v>
      </c>
      <c r="Q223" s="81">
        <f>Z223</f>
        <v>20985</v>
      </c>
      <c r="R223" s="83" t="s">
        <v>258</v>
      </c>
      <c r="S223" s="128"/>
      <c r="Z223">
        <f>SUM(Z17:Z220)-SUM(Y17:Y220)</f>
        <v>20985</v>
      </c>
      <c r="AA223" s="91">
        <f>SUM(AA17:AA108)-SUM(AB17:AB220)</f>
        <v>-1205</v>
      </c>
      <c r="AB223" s="91"/>
      <c r="AC223" s="91">
        <f>SUM(AC17:AC141)</f>
        <v>144858.28</v>
      </c>
      <c r="AD223" s="92">
        <f>SUM(AD24:AD107)</f>
        <v>0</v>
      </c>
      <c r="AE223" s="91">
        <f>AE183+AE142+AE108+AE73+AE34</f>
        <v>3120</v>
      </c>
      <c r="AG223" s="81">
        <f>SUM(AH17:AH222)</f>
        <v>213416.28</v>
      </c>
    </row>
    <row r="224" spans="1:44" x14ac:dyDescent="0.25">
      <c r="L224"/>
      <c r="AE224" s="77"/>
    </row>
    <row r="225" spans="2:43" x14ac:dyDescent="0.25">
      <c r="G225" s="1" t="s">
        <v>122</v>
      </c>
      <c r="H225">
        <f>H223/7</f>
        <v>246.85714285714286</v>
      </c>
    </row>
    <row r="226" spans="2:43" x14ac:dyDescent="0.25">
      <c r="AE226" s="77"/>
    </row>
    <row r="227" spans="2:43" x14ac:dyDescent="0.25">
      <c r="G227" s="1" t="s">
        <v>130</v>
      </c>
      <c r="H227">
        <f>SUM(E17:E220)</f>
        <v>574</v>
      </c>
    </row>
    <row r="228" spans="2:43" x14ac:dyDescent="0.25">
      <c r="G228" s="1" t="s">
        <v>131</v>
      </c>
      <c r="H228">
        <f>H227/7</f>
        <v>82</v>
      </c>
    </row>
    <row r="230" spans="2:43" x14ac:dyDescent="0.25">
      <c r="G230" s="1" t="s">
        <v>132</v>
      </c>
      <c r="H230">
        <f>H223-H227</f>
        <v>1154</v>
      </c>
      <c r="T230" s="76"/>
    </row>
    <row r="231" spans="2:43" x14ac:dyDescent="0.25">
      <c r="G231" s="1" t="s">
        <v>133</v>
      </c>
      <c r="H231">
        <f>H225-H228</f>
        <v>164.85714285714286</v>
      </c>
    </row>
    <row r="232" spans="2:43" x14ac:dyDescent="0.25">
      <c r="G232" s="1" t="s">
        <v>135</v>
      </c>
      <c r="H232" s="77">
        <f>AG223/H231</f>
        <v>1294.5528249566723</v>
      </c>
    </row>
    <row r="233" spans="2:43" ht="15.75" x14ac:dyDescent="0.25">
      <c r="C233" s="10"/>
    </row>
    <row r="234" spans="2:43" x14ac:dyDescent="0.25">
      <c r="B234" s="93" t="s">
        <v>228</v>
      </c>
      <c r="C234" s="29"/>
      <c r="D234" s="30"/>
      <c r="E234" s="31">
        <f>IF(D234=$B$12,H234,0)</f>
        <v>0</v>
      </c>
      <c r="F234" s="31">
        <f>IF(E234&gt;0,0,1)</f>
        <v>1</v>
      </c>
      <c r="G234" s="30"/>
      <c r="H234" s="30"/>
      <c r="I234" s="30"/>
      <c r="J234" s="30"/>
      <c r="K234" s="31"/>
      <c r="L234" s="32"/>
      <c r="M234" s="33"/>
      <c r="N234" s="31"/>
      <c r="O234" s="34">
        <v>0</v>
      </c>
      <c r="P234" s="34">
        <f>ROUND((O234*0.4),0)</f>
        <v>0</v>
      </c>
      <c r="Q234" s="31">
        <f>IF(O234&gt;0,((O234+500)-P234)+T234,0)</f>
        <v>0</v>
      </c>
      <c r="R234" s="35"/>
      <c r="S234" s="71"/>
      <c r="T234" s="71">
        <f>IF(U234=$AD$2,47,IF(U234=$AD$1,ROUND(((O234+500)*0.039),0),IF(U234=$AD$3,0)))</f>
        <v>0</v>
      </c>
      <c r="U234" s="94" t="str">
        <f>IF(V234=1,$AD$2,IF(V234=2,$AD$1,IF(AND(V234&lt;&gt;1,V234&lt;&gt;20)=TRUE,$AD$3)))</f>
        <v>NONE</v>
      </c>
      <c r="V234" s="70"/>
      <c r="W234" s="32"/>
      <c r="X234" s="71">
        <f>Q234+P234</f>
        <v>0</v>
      </c>
      <c r="Y234" s="71"/>
      <c r="Z234" s="34">
        <f>IF(W234=$Z$1,Q234-500,0)</f>
        <v>0</v>
      </c>
      <c r="AA234" s="34">
        <f>IF(H234&gt;0,130,0)</f>
        <v>0</v>
      </c>
      <c r="AB234" s="34"/>
      <c r="AC234" s="95">
        <f>(O234+T234)-AA234</f>
        <v>0</v>
      </c>
      <c r="AD234" s="34"/>
      <c r="AE234" s="34">
        <f>IF(H234&gt;0,30*F234,0)</f>
        <v>0</v>
      </c>
      <c r="AF234" s="34">
        <f>IF(AG234&gt;0,AG108:AG234,0)</f>
        <v>0</v>
      </c>
      <c r="AG234" s="34">
        <f>AC234-AE234</f>
        <v>0</v>
      </c>
      <c r="AI234">
        <f>IF(S234=1,O234-T234,0)</f>
        <v>0</v>
      </c>
      <c r="AJ234">
        <f>IF(S234=2,O234-T234,0)</f>
        <v>0</v>
      </c>
      <c r="AK234">
        <f>IF(S234=3,O234-T234,0)</f>
        <v>0</v>
      </c>
      <c r="AL234">
        <f>IF(S234=4,O234-T234,0)</f>
        <v>0</v>
      </c>
      <c r="AN234">
        <f>IF(S234=1,O234-T234,0)</f>
        <v>0</v>
      </c>
      <c r="AO234">
        <f>IF(S234=2,O234-T234,0)</f>
        <v>0</v>
      </c>
      <c r="AP234">
        <f>IF(S234=3,O234-T234,0)</f>
        <v>0</v>
      </c>
      <c r="AQ234">
        <f>IF(S234=4,O234-T234,0)</f>
        <v>0</v>
      </c>
    </row>
    <row r="235" spans="2:43" ht="17.25" x14ac:dyDescent="0.3">
      <c r="B235" s="13"/>
      <c r="C235" s="9"/>
      <c r="G235" s="10"/>
      <c r="H235" s="10"/>
      <c r="I235" s="10"/>
    </row>
    <row r="236" spans="2:43" ht="17.25" x14ac:dyDescent="0.3">
      <c r="B236" s="12"/>
      <c r="C236" s="12"/>
      <c r="G236" s="10"/>
      <c r="H236" s="10"/>
      <c r="I236" s="10"/>
    </row>
    <row r="237" spans="2:43" ht="17.25" x14ac:dyDescent="0.3">
      <c r="B237" s="14"/>
      <c r="C237" s="12"/>
      <c r="L237" s="59" t="s">
        <v>257</v>
      </c>
    </row>
    <row r="238" spans="2:43" ht="17.25" x14ac:dyDescent="0.3">
      <c r="B238" s="12"/>
      <c r="C238" s="12"/>
    </row>
    <row r="239" spans="2:43" x14ac:dyDescent="0.25">
      <c r="B239" s="14"/>
      <c r="C239" s="14"/>
      <c r="AC239" s="99"/>
    </row>
    <row r="240" spans="2:43" x14ac:dyDescent="0.25">
      <c r="B240" s="14"/>
      <c r="C240" s="179"/>
      <c r="AC240" s="101"/>
    </row>
    <row r="241" spans="2:43" x14ac:dyDescent="0.25">
      <c r="B241" s="121"/>
      <c r="D241" s="85"/>
      <c r="E241" s="85"/>
      <c r="F241" s="85"/>
      <c r="G241" s="60"/>
      <c r="H241" s="86"/>
      <c r="I241" s="88"/>
      <c r="J241" s="85"/>
      <c r="K241" s="60"/>
      <c r="L241" s="60"/>
      <c r="M241" s="4"/>
      <c r="N241" s="84"/>
      <c r="O241" s="152"/>
      <c r="AC241" s="101"/>
    </row>
    <row r="242" spans="2:43" x14ac:dyDescent="0.25">
      <c r="B242" s="93" t="s">
        <v>228</v>
      </c>
      <c r="C242" s="29"/>
      <c r="D242" s="30"/>
      <c r="E242" s="31">
        <f>IF(D242=$B$12,H242,0)</f>
        <v>0</v>
      </c>
      <c r="F242" s="31">
        <f>IF(E242&gt;0,0,1)</f>
        <v>1</v>
      </c>
      <c r="G242" s="30"/>
      <c r="H242" s="30"/>
      <c r="I242" s="30"/>
      <c r="J242" s="30"/>
      <c r="K242" s="31"/>
      <c r="L242" s="32"/>
      <c r="M242" s="33"/>
      <c r="N242" s="31"/>
      <c r="O242" s="34">
        <v>0</v>
      </c>
      <c r="P242" s="34">
        <f>ROUND((O242*0.4),0)</f>
        <v>0</v>
      </c>
      <c r="Q242" s="31">
        <f>IF(O242&gt;0,((O242+500)-P242)+T242,0)</f>
        <v>0</v>
      </c>
      <c r="R242" s="35"/>
      <c r="S242" s="71"/>
      <c r="T242" s="71">
        <f>IF(U242=$AD$2,47,IF(U242=$AD$1,ROUND(((O242+500)*0.039),0),IF(U242=$AD$3,0)))</f>
        <v>0</v>
      </c>
      <c r="U242" s="94" t="str">
        <f>IF(V242=1,$AD$2,IF(V242=2,$AD$1,IF(AND(V242&lt;&gt;1,V242&lt;&gt;20)=TRUE,$AD$3)))</f>
        <v>NONE</v>
      </c>
      <c r="V242" s="70"/>
      <c r="W242" s="32"/>
      <c r="X242" s="71">
        <f>Q242+P242</f>
        <v>0</v>
      </c>
      <c r="Y242" s="71"/>
      <c r="Z242" s="34">
        <f>IF(W242=$Z$1,Q242-500,0)</f>
        <v>0</v>
      </c>
      <c r="AA242" s="34">
        <f>IF(H242&gt;0,130,0)</f>
        <v>0</v>
      </c>
      <c r="AB242" s="34"/>
      <c r="AC242" s="95">
        <f>(O242+T242)-AA242</f>
        <v>0</v>
      </c>
      <c r="AD242" s="34"/>
      <c r="AE242" s="34">
        <f>IF(H242&gt;0,30*F242,0)</f>
        <v>0</v>
      </c>
      <c r="AF242" s="34">
        <f>IF(AG242&gt;0,AG116:AG242,0)</f>
        <v>0</v>
      </c>
      <c r="AG242" s="34">
        <f>AC242-AE242</f>
        <v>0</v>
      </c>
      <c r="AI242">
        <f>IF(S242=1,O242-T242,0)</f>
        <v>0</v>
      </c>
      <c r="AJ242">
        <f>IF(S242=2,O242-T242,0)</f>
        <v>0</v>
      </c>
      <c r="AK242">
        <f>IF(S242=3,O242-T242,0)</f>
        <v>0</v>
      </c>
      <c r="AL242">
        <f>IF(S242=4,O242-T242,0)</f>
        <v>0</v>
      </c>
      <c r="AN242">
        <f>IF(S242=1,O242-T242,0)</f>
        <v>0</v>
      </c>
      <c r="AO242">
        <f>IF(S242=2,O242-T242,0)</f>
        <v>0</v>
      </c>
      <c r="AP242">
        <f>IF(S242=3,O242-T242,0)</f>
        <v>0</v>
      </c>
      <c r="AQ242">
        <f>IF(S242=4,O242-T242,0)</f>
        <v>0</v>
      </c>
    </row>
    <row r="244" spans="2:43" x14ac:dyDescent="0.25">
      <c r="B244">
        <v>2016</v>
      </c>
    </row>
    <row r="245" spans="2:43" x14ac:dyDescent="0.25">
      <c r="B245" t="s">
        <v>667</v>
      </c>
    </row>
    <row r="246" spans="2:43" x14ac:dyDescent="0.25">
      <c r="B246" t="s">
        <v>668</v>
      </c>
    </row>
    <row r="247" spans="2:43" x14ac:dyDescent="0.25">
      <c r="B247" t="s">
        <v>669</v>
      </c>
    </row>
    <row r="248" spans="2:43" x14ac:dyDescent="0.25">
      <c r="B248" t="s">
        <v>670</v>
      </c>
    </row>
    <row r="249" spans="2:43" x14ac:dyDescent="0.25">
      <c r="B249" t="s">
        <v>706</v>
      </c>
    </row>
    <row r="250" spans="2:43" x14ac:dyDescent="0.25">
      <c r="B250" t="s">
        <v>707</v>
      </c>
    </row>
    <row r="252" spans="2:43" x14ac:dyDescent="0.25">
      <c r="B252" s="149" t="s">
        <v>724</v>
      </c>
    </row>
  </sheetData>
  <phoneticPr fontId="21" type="noConversion"/>
  <pageMargins left="0.7" right="0.7" top="0.75" bottom="0.75" header="0.3" footer="0.3"/>
  <pageSetup orientation="portrait" r:id="rId1"/>
  <ignoredErrors>
    <ignoredError sqref="R44:R45 R30 R42 R39 R21:R27 R59 R63 R48:R51 R37 R84 R76:R77 R58 R54:R56 R78:R79 R65 R61 R86:R87 R91 R104 R94 R146:R147 R151 R158:R169" twoDigitTextYear="1"/>
    <ignoredError sqref="P45 Q51 Q46 Q48 X57:X58 AC47 AC58 AC57 T78 T60 T64 Q78 T47 T55 AC55 Q55 Q65 AM34:AM35 Q146" formula="1"/>
    <ignoredError sqref="F16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Snowbird</cp:lastModifiedBy>
  <dcterms:created xsi:type="dcterms:W3CDTF">2010-06-05T09:28:51Z</dcterms:created>
  <dcterms:modified xsi:type="dcterms:W3CDTF">2014-07-17T11:31:30Z</dcterms:modified>
</cp:coreProperties>
</file>