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605" yWindow="105" windowWidth="1819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43" i="1"/>
  <c r="W43"/>
  <c r="T43"/>
  <c r="F46"/>
  <c r="F48" s="1"/>
  <c r="M41"/>
  <c r="N41" s="1"/>
  <c r="J11"/>
  <c r="J10"/>
  <c r="J9"/>
  <c r="T41"/>
  <c r="W41" s="1"/>
  <c r="M38"/>
  <c r="M37"/>
  <c r="L36" l="1"/>
  <c r="M36" s="1"/>
  <c r="N36" l="1"/>
  <c r="T36"/>
  <c r="W36" s="1"/>
  <c r="T37"/>
  <c r="W37" s="1"/>
  <c r="N37"/>
  <c r="V46" l="1"/>
  <c r="U46"/>
  <c r="M3"/>
  <c r="N9" s="1"/>
  <c r="K11"/>
  <c r="K10"/>
  <c r="K9"/>
  <c r="L4"/>
  <c r="M4" s="1"/>
  <c r="M10" s="1"/>
  <c r="W30"/>
  <c r="M11" l="1"/>
  <c r="M9"/>
  <c r="N10"/>
  <c r="N11"/>
  <c r="M21"/>
  <c r="M32"/>
  <c r="N32" s="1"/>
  <c r="T32"/>
  <c r="W32" s="1"/>
  <c r="T29"/>
  <c r="M22"/>
  <c r="L22"/>
  <c r="L34"/>
  <c r="M34" s="1"/>
  <c r="L39" l="1"/>
  <c r="S16"/>
  <c r="S46" s="1"/>
  <c r="T24" l="1"/>
  <c r="I11"/>
  <c r="T39"/>
  <c r="T34"/>
  <c r="T33"/>
  <c r="T31"/>
  <c r="T28"/>
  <c r="T25"/>
  <c r="T23"/>
  <c r="T22"/>
  <c r="T21"/>
  <c r="T20"/>
  <c r="T19"/>
  <c r="T18"/>
  <c r="T17"/>
  <c r="T16"/>
  <c r="T38"/>
  <c r="T46" l="1"/>
  <c r="N38"/>
  <c r="W16"/>
  <c r="W39"/>
  <c r="N39"/>
  <c r="W38"/>
  <c r="W34"/>
  <c r="N34"/>
  <c r="N33"/>
  <c r="W28"/>
  <c r="N28"/>
  <c r="W25"/>
  <c r="N25"/>
  <c r="W24"/>
  <c r="N24"/>
  <c r="W23"/>
  <c r="N23"/>
  <c r="W22"/>
  <c r="N22"/>
  <c r="W21"/>
  <c r="N21"/>
  <c r="W20"/>
  <c r="N20"/>
  <c r="W19"/>
  <c r="N19"/>
  <c r="W18"/>
  <c r="N18"/>
  <c r="W17"/>
  <c r="N17"/>
  <c r="N16"/>
  <c r="I9"/>
  <c r="I10"/>
  <c r="W46" l="1"/>
  <c r="W48" s="1"/>
  <c r="O9"/>
  <c r="P9" s="1"/>
  <c r="Q9" s="1"/>
  <c r="O11"/>
  <c r="P11" s="1"/>
  <c r="Q11" s="1"/>
  <c r="O10"/>
  <c r="P10" s="1"/>
  <c r="Q10" l="1"/>
  <c r="R10" s="1"/>
  <c r="S10" s="1"/>
  <c r="U10" s="1"/>
  <c r="V10" s="1"/>
  <c r="R9"/>
  <c r="S9" s="1"/>
  <c r="U9" s="1"/>
  <c r="V9" s="1"/>
  <c r="R11"/>
  <c r="S11" s="1"/>
  <c r="U11" s="1"/>
  <c r="V11" s="1"/>
</calcChain>
</file>

<file path=xl/sharedStrings.xml><?xml version="1.0" encoding="utf-8"?>
<sst xmlns="http://schemas.openxmlformats.org/spreadsheetml/2006/main" count="291" uniqueCount="153">
  <si>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</si>
  <si>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</si>
  <si>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</si>
  <si>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</si>
  <si>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</si>
  <si>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</si>
  <si>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</si>
  <si>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</si>
  <si>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 xml:space="preserve"> BIKES</t>
  </si>
  <si>
    <t>POOL</t>
  </si>
  <si>
    <t>CLEAN</t>
  </si>
  <si>
    <t>BIKES</t>
  </si>
  <si>
    <t>PEOPLE</t>
  </si>
  <si>
    <t xml:space="preserve"> TAX</t>
  </si>
  <si>
    <t>June 1 to June 30 &amp; Sep 1 Nov 30</t>
  </si>
  <si>
    <t>July 1 to August 31</t>
  </si>
  <si>
    <t>Dec 1 to May 31</t>
  </si>
  <si>
    <t xml:space="preserve"> HEAT THE POOL 1=Y 0=N</t>
  </si>
  <si>
    <t xml:space="preserve"> PAY PAL 3.9%? 1=Y 2=N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</si>
  <si>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</si>
  <si>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</si>
  <si>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</si>
  <si>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</si>
  <si>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</si>
  <si>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</si>
  <si>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</si>
  <si>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</si>
  <si>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</si>
  <si>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</si>
  <si>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</si>
  <si>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</si>
  <si>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</si>
  <si>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</si>
  <si>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</si>
  <si>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HR</t>
  </si>
  <si>
    <t>19 Jun to 3 Jul</t>
  </si>
  <si>
    <t>5  inc 3 children 10,10 and 16</t>
  </si>
  <si>
    <r>
      <t xml:space="preserve">Clean </t>
    </r>
    <r>
      <rPr>
        <sz val="10"/>
        <color rgb="FFFF0000"/>
        <rFont val="Verdana"/>
        <family val="2"/>
      </rPr>
      <t xml:space="preserve">ENTRY &amp; Exit </t>
    </r>
  </si>
  <si>
    <t>Now</t>
  </si>
  <si>
    <t>8 inc 2 children</t>
  </si>
  <si>
    <r>
      <t xml:space="preserve">Clean </t>
    </r>
    <r>
      <rPr>
        <sz val="10"/>
        <color rgb="FFFF0000"/>
        <rFont val="Verdana"/>
        <family val="2"/>
      </rPr>
      <t>Exit ONLY</t>
    </r>
  </si>
  <si>
    <t>EMAIL</t>
  </si>
  <si>
    <t>Justin List</t>
  </si>
  <si>
    <t>28 July to 4 August</t>
  </si>
  <si>
    <t>4 Inc 2 children</t>
  </si>
  <si>
    <t>little_redhouse @ hotmail.com</t>
  </si>
  <si>
    <t>NA</t>
  </si>
  <si>
    <t>7 Jully to 22 July</t>
  </si>
  <si>
    <t xml:space="preserve"> Feb 25-11</t>
  </si>
  <si>
    <t>Dos Santos (no meet and greet)</t>
  </si>
  <si>
    <t>dagfinnh@gmail.com</t>
  </si>
  <si>
    <t>justinlist@me.com</t>
  </si>
  <si>
    <t>John Brezovsky</t>
  </si>
  <si>
    <t>johnnobonno@aol.com</t>
  </si>
  <si>
    <t>8 oct 15 oct</t>
  </si>
  <si>
    <t>j_helweg@hotmail.com</t>
  </si>
  <si>
    <t>Julie Helweg</t>
  </si>
  <si>
    <t>Heat</t>
  </si>
  <si>
    <t>Bikes</t>
  </si>
  <si>
    <t>Pool</t>
  </si>
  <si>
    <t>Y</t>
  </si>
  <si>
    <t>A/D/F1</t>
  </si>
  <si>
    <t>N</t>
  </si>
  <si>
    <t>Dagfinn Haakonsen</t>
  </si>
  <si>
    <t>A/D/F1/B/F2</t>
  </si>
  <si>
    <t>Paul  Ward</t>
  </si>
  <si>
    <t>pgkward@gmail.com</t>
  </si>
  <si>
    <t>OD</t>
  </si>
  <si>
    <t>9 august to 22 August</t>
  </si>
  <si>
    <t>3 inc 1 child</t>
  </si>
  <si>
    <t>9 inc 4 children</t>
  </si>
  <si>
    <t>Bank 0</t>
  </si>
  <si>
    <t>PAY PAL0</t>
  </si>
  <si>
    <t>Alison Gibbens</t>
  </si>
  <si>
    <t>alijg76@yahoo.co.uk</t>
  </si>
  <si>
    <t>5 to 16 june 2011</t>
  </si>
  <si>
    <t>bank 0</t>
  </si>
  <si>
    <t>Apr 10-11</t>
  </si>
  <si>
    <t>Jul 5-10</t>
  </si>
  <si>
    <t>Nick Fister</t>
  </si>
  <si>
    <t>jnfister@yahoo.com</t>
  </si>
  <si>
    <t>29 Mar to 12 Apr 2011</t>
  </si>
  <si>
    <t>Feb 01-11</t>
  </si>
  <si>
    <t>Linda Lyucett</t>
  </si>
  <si>
    <t>6 sep to 18 sep 2010</t>
  </si>
  <si>
    <t>lalycett@yahoo.co.uk</t>
  </si>
  <si>
    <t>4 inc 2 children</t>
  </si>
  <si>
    <t>Jul 12-10</t>
  </si>
  <si>
    <t xml:space="preserve">3 Inc 1 child </t>
  </si>
  <si>
    <t>Wendy Frost</t>
  </si>
  <si>
    <t>wendyfrost20@hotmail.com</t>
  </si>
  <si>
    <t>17 oct to  31 oct</t>
  </si>
  <si>
    <t>6 inc 2 children</t>
  </si>
  <si>
    <t>Aug 22-10</t>
  </si>
  <si>
    <t>Dos Santos</t>
  </si>
  <si>
    <t>15 April to 22 April</t>
  </si>
  <si>
    <t>3 Inc 1 child</t>
  </si>
  <si>
    <t>Dos  Santos</t>
  </si>
  <si>
    <t>4 Mar to 6 mar 2011</t>
  </si>
  <si>
    <t>25 Mar to 27 Mar 2011</t>
  </si>
  <si>
    <t>26 dec to 30 dec</t>
  </si>
  <si>
    <t>greg@cottingham.ca</t>
  </si>
  <si>
    <t>greg cottingham</t>
  </si>
  <si>
    <t>12 Mar to 19 March 2011</t>
  </si>
  <si>
    <t>Jan 15-11</t>
  </si>
  <si>
    <t>A/D=Need updated agr + pool</t>
  </si>
  <si>
    <t>8 oct to 11 oct 2011</t>
  </si>
  <si>
    <t>Al@Americansweets.co.uk</t>
  </si>
  <si>
    <t>Al Baker</t>
  </si>
  <si>
    <t>??</t>
  </si>
  <si>
    <t>3 incl 1 chikd</t>
  </si>
  <si>
    <t>27 Aug to 3 Sep</t>
  </si>
  <si>
    <t>Jul 15-10</t>
  </si>
  <si>
    <t>1 Jan 2011 to 28 Feb 2011</t>
  </si>
  <si>
    <t>3 inc 1 children</t>
  </si>
  <si>
    <t>Aug 20-10</t>
  </si>
  <si>
    <t>D/A/F1/B/F2</t>
  </si>
  <si>
    <t>ORIGINAL COSTS</t>
  </si>
  <si>
    <t>22 April to 29 april 2011</t>
  </si>
  <si>
    <t>26 dec to 31 dec 2011</t>
  </si>
  <si>
    <t>CLEAN EVERY 2 WEEKS + HOUSE WATCH</t>
  </si>
  <si>
    <t>D/A/F1</t>
  </si>
  <si>
    <t>blonde205@hotmail.com</t>
  </si>
  <si>
    <t>5 inc 3 children</t>
  </si>
  <si>
    <t>Smantha  Copple</t>
  </si>
  <si>
    <t>Neville Chesworth</t>
  </si>
  <si>
    <t>nevillechesworth@hotmail.com</t>
  </si>
  <si>
    <t>22 Nov to 29 Nov 2010</t>
  </si>
  <si>
    <t>2 inc 0 children</t>
  </si>
  <si>
    <t>Sept 27-10</t>
  </si>
  <si>
    <t>Annie Peryra</t>
  </si>
  <si>
    <t>Mar 6-11</t>
  </si>
  <si>
    <t xml:space="preserve">INTERIM CLEAN MAY 4 + Clean ON EXIT </t>
  </si>
  <si>
    <t>1 May to 8 May 2011</t>
  </si>
  <si>
    <t>4 inc 0 children</t>
  </si>
  <si>
    <t>apereyra@optonline.net</t>
  </si>
  <si>
    <t>wnewsome@blueyonder.co.uk</t>
  </si>
  <si>
    <t>Wayne Newsome</t>
  </si>
  <si>
    <t>1  Oct to 8 Oct</t>
  </si>
  <si>
    <t>Aug 6-10</t>
  </si>
  <si>
    <t>20 Jul to 29 Jul 2011</t>
  </si>
  <si>
    <t>ines1973@hotmail.co.uk</t>
  </si>
  <si>
    <t>Andy Colbridge</t>
  </si>
  <si>
    <t>9 to 16 Jul 2011</t>
  </si>
  <si>
    <t>6 Inc 2 Children</t>
  </si>
  <si>
    <t>May 14-11</t>
  </si>
  <si>
    <t>#</t>
  </si>
  <si>
    <t>Nights</t>
  </si>
  <si>
    <t>13 Nov to 19 Nov 10</t>
  </si>
  <si>
    <t>20 Jul to 21Nov 2011</t>
  </si>
  <si>
    <t>Weeks:</t>
  </si>
  <si>
    <t>Nights:</t>
  </si>
  <si>
    <t>Jun 16-11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</si>
</sst>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name val="Calibri"/>
      <family val="2"/>
      <scheme val="minor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b/>
      <sz val="12"/>
      <color rgb="FFFF0000"/>
      <name val="Verdana"/>
      <family val="2"/>
    </font>
    <font>
      <sz val="11"/>
      <color rgb="FF2A2A2A"/>
      <name val="Calibri"/>
      <family val="2"/>
      <scheme val="minor"/>
    </font>
    <font>
      <sz val="10"/>
      <color rgb="FF2A2A2A"/>
      <name val="Segoe U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ont="1" applyAlignment="1">
      <alignment horizontal="right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3"/>
  <sheetViews>
    <sheetView tabSelected="1" topLeftCell="D13" zoomScale="70" zoomScaleNormal="70" workbookViewId="0">
      <selection activeCell="N43" sqref="N43"/>
    </sheetView>
  </sheetViews>
  <sheetFormatPr defaultRowHeight="15"/>
  <cols>
    <col min="1" max="1" width="4.5703125" style="4" customWidth="1"/>
    <col min="2" max="2" width="26.7109375" customWidth="1"/>
    <col min="3" max="3" width="30.140625" style="4" customWidth="1"/>
    <col min="4" max="4" width="6.85546875" style="4" customWidth="1"/>
    <col min="5" max="5" width="26.140625" style="4" customWidth="1"/>
    <col min="6" max="6" width="6.85546875" style="4" customWidth="1"/>
    <col min="7" max="7" width="29.85546875" style="4" customWidth="1"/>
    <col min="8" max="8" width="6.140625" style="4" customWidth="1"/>
    <col min="9" max="9" width="19.5703125" style="7" customWidth="1"/>
    <col min="10" max="10" width="9.140625" customWidth="1"/>
    <col min="12" max="12" width="9.28515625" customWidth="1"/>
    <col min="13" max="13" width="10.42578125" customWidth="1"/>
    <col min="14" max="14" width="11.42578125" customWidth="1"/>
    <col min="15" max="15" width="11.5703125" customWidth="1"/>
    <col min="16" max="16" width="12.7109375" customWidth="1"/>
    <col min="17" max="18" width="13.140625" customWidth="1"/>
    <col min="20" max="20" width="10" customWidth="1"/>
    <col min="21" max="21" width="0.42578125" customWidth="1"/>
    <col min="22" max="22" width="11.42578125" customWidth="1"/>
    <col min="23" max="23" width="10.5703125" customWidth="1"/>
    <col min="27" max="27" width="36.42578125" customWidth="1"/>
  </cols>
  <sheetData>
    <row r="1" spans="2:27">
      <c r="C1"/>
      <c r="J1" s="2">
        <v>0.1</v>
      </c>
      <c r="K1" t="s">
        <v>13</v>
      </c>
    </row>
    <row r="2" spans="2:27">
      <c r="C2" s="23"/>
      <c r="J2">
        <v>15</v>
      </c>
      <c r="K2" t="s">
        <v>5</v>
      </c>
    </row>
    <row r="3" spans="2:27">
      <c r="C3"/>
      <c r="J3">
        <v>4</v>
      </c>
      <c r="K3" t="s">
        <v>6</v>
      </c>
      <c r="M3">
        <f>IF(J3&gt;7,20,15)</f>
        <v>15</v>
      </c>
    </row>
    <row r="4" spans="2:27">
      <c r="C4"/>
      <c r="J4">
        <v>0</v>
      </c>
      <c r="K4" t="s">
        <v>8</v>
      </c>
      <c r="L4">
        <f>IF(J2=7,1,1-(0.3*((J2/7)-1)))</f>
        <v>0.65714285714285725</v>
      </c>
      <c r="M4" s="4">
        <f>IF(L4&gt;=0.5,L4,0.5)</f>
        <v>0.65714285714285725</v>
      </c>
    </row>
    <row r="5" spans="2:27">
      <c r="C5"/>
      <c r="J5">
        <v>1</v>
      </c>
      <c r="K5" t="s">
        <v>17</v>
      </c>
    </row>
    <row r="6" spans="2:27">
      <c r="C6"/>
      <c r="J6">
        <v>0</v>
      </c>
      <c r="K6" t="s">
        <v>18</v>
      </c>
    </row>
    <row r="7" spans="2:27">
      <c r="C7"/>
      <c r="N7" s="1" t="s">
        <v>4</v>
      </c>
      <c r="R7" s="3" t="s">
        <v>20</v>
      </c>
      <c r="S7" s="1" t="s">
        <v>1</v>
      </c>
      <c r="V7" s="1" t="s">
        <v>1</v>
      </c>
    </row>
    <row r="8" spans="2:27">
      <c r="G8" s="6" t="s">
        <v>117</v>
      </c>
      <c r="K8" s="1" t="s">
        <v>9</v>
      </c>
      <c r="L8" s="1" t="s">
        <v>10</v>
      </c>
      <c r="M8" s="1" t="s">
        <v>11</v>
      </c>
      <c r="N8" s="1" t="s">
        <v>12</v>
      </c>
      <c r="O8" s="1" t="s">
        <v>0</v>
      </c>
      <c r="P8" s="1" t="s">
        <v>7</v>
      </c>
      <c r="Q8" s="1" t="s">
        <v>19</v>
      </c>
      <c r="R8" s="3" t="s">
        <v>19</v>
      </c>
      <c r="S8" s="1" t="s">
        <v>2</v>
      </c>
      <c r="V8" s="1" t="s">
        <v>3</v>
      </c>
    </row>
    <row r="9" spans="2:27">
      <c r="B9" t="s">
        <v>14</v>
      </c>
      <c r="G9" s="4">
        <v>1020</v>
      </c>
      <c r="I9" s="7">
        <f>J9+N9</f>
        <v>1950</v>
      </c>
      <c r="J9">
        <f>1120/7*$J$2</f>
        <v>2400</v>
      </c>
      <c r="K9" s="4">
        <f>IF($J$2&lt;=7,(100/7*$J$2*$J$5),(100+(($J$2-7)*8))*$J$5)</f>
        <v>164</v>
      </c>
      <c r="L9">
        <v>125</v>
      </c>
      <c r="M9">
        <f>IF((80*$J$4*($J$2/7))&gt;150*($J$2/7),150*($J$2/7)*$M$4,(80*$J$4*($J$2/7))*$M$4)</f>
        <v>0</v>
      </c>
      <c r="N9">
        <f>IF($J$3&gt;3,($J$3-6)*$M$3*$J$2,2*$M$3*$J$2*-1)</f>
        <v>-450</v>
      </c>
      <c r="O9">
        <f>(J9+K9+L9+M9+N9)*$J$1</f>
        <v>223.9</v>
      </c>
      <c r="P9">
        <f>J9+K9+L9+M9+N9+O9</f>
        <v>2462.9</v>
      </c>
      <c r="Q9" s="4">
        <f>(P9+500)*0.039*$J$6</f>
        <v>0</v>
      </c>
      <c r="R9">
        <f>P9+Q9</f>
        <v>2462.9</v>
      </c>
      <c r="S9">
        <f>R9/$J$2</f>
        <v>164.19333333333333</v>
      </c>
      <c r="U9">
        <f>S9*30</f>
        <v>4925.8</v>
      </c>
      <c r="V9">
        <f>U9*0.75</f>
        <v>3694.3500000000004</v>
      </c>
    </row>
    <row r="10" spans="2:27">
      <c r="B10" t="s">
        <v>15</v>
      </c>
      <c r="G10" s="4">
        <v>1250</v>
      </c>
      <c r="I10" s="7">
        <f>J10+N10</f>
        <v>2164.2857142857142</v>
      </c>
      <c r="J10" s="4">
        <f>1220/7*$J$2</f>
        <v>2614.2857142857142</v>
      </c>
      <c r="K10" s="4">
        <f t="shared" ref="K10:K11" si="0">IF($J$2&lt;=7,(100/7*$J$2*$J$5),(100+(($J$2-7)*8))*$J$5)</f>
        <v>164</v>
      </c>
      <c r="L10" s="4">
        <v>125</v>
      </c>
      <c r="M10" s="4">
        <f t="shared" ref="M10:M11" si="1">IF((80*$J$4*($J$2/7))&gt;150*($J$2/7),150*($J$2/7)*$M$4,(80*$J$4*($J$2/7))*$M$4)</f>
        <v>0</v>
      </c>
      <c r="N10" s="4">
        <f t="shared" ref="N10:N11" si="2">IF($J$3&gt;3,($J$3-6)*$M$3*$J$2,2*$M$3*$J$2*-1)</f>
        <v>-450</v>
      </c>
      <c r="O10">
        <f>(J10+K10+L10+M10+N10)*$J$1</f>
        <v>245.32857142857142</v>
      </c>
      <c r="P10">
        <f>J10+K10+L10+M10+N10+O10</f>
        <v>2698.6142857142859</v>
      </c>
      <c r="Q10">
        <f>(P10+500)*0.039*$J$6</f>
        <v>0</v>
      </c>
      <c r="R10">
        <f>P10+Q10</f>
        <v>2698.6142857142859</v>
      </c>
      <c r="S10">
        <f>R10/$J$2</f>
        <v>179.90761904761905</v>
      </c>
      <c r="U10">
        <f>S10*30</f>
        <v>5397.2285714285717</v>
      </c>
      <c r="V10">
        <f>U10*0.75</f>
        <v>4047.9214285714288</v>
      </c>
    </row>
    <row r="11" spans="2:27">
      <c r="B11" t="s">
        <v>16</v>
      </c>
      <c r="G11" s="4">
        <v>1350</v>
      </c>
      <c r="I11" s="7">
        <f>J11+N11</f>
        <v>2378.5714285714289</v>
      </c>
      <c r="J11" s="4">
        <f>1320/7*$J$2</f>
        <v>2828.5714285714289</v>
      </c>
      <c r="K11" s="4">
        <f t="shared" si="0"/>
        <v>164</v>
      </c>
      <c r="L11" s="4">
        <v>125</v>
      </c>
      <c r="M11" s="4">
        <f t="shared" si="1"/>
        <v>0</v>
      </c>
      <c r="N11" s="4">
        <f t="shared" si="2"/>
        <v>-450</v>
      </c>
      <c r="O11">
        <f>(J11+K11+L11+M11+N11)*$J$1</f>
        <v>266.75714285714292</v>
      </c>
      <c r="P11">
        <f>J11+K11+L11+M11+N11+O11</f>
        <v>2934.3285714285716</v>
      </c>
      <c r="Q11" s="4">
        <f>(P11+500)*0.039*$J$6</f>
        <v>0</v>
      </c>
      <c r="R11">
        <f>P11+Q11</f>
        <v>2934.3285714285716</v>
      </c>
      <c r="S11">
        <f>R11/$J$2</f>
        <v>195.62190476190477</v>
      </c>
      <c r="U11">
        <f>S11*30</f>
        <v>5868.6571428571433</v>
      </c>
      <c r="V11">
        <f>U11*0.75</f>
        <v>4401.4928571428572</v>
      </c>
    </row>
    <row r="13" spans="2:27">
      <c r="F13" s="4" t="s">
        <v>146</v>
      </c>
      <c r="H13" s="4" t="s">
        <v>59</v>
      </c>
    </row>
    <row r="14" spans="2:27">
      <c r="B14" s="4" t="s">
        <v>21</v>
      </c>
      <c r="C14" s="4" t="s">
        <v>41</v>
      </c>
      <c r="D14" s="4" t="s">
        <v>22</v>
      </c>
      <c r="E14" s="4" t="s">
        <v>23</v>
      </c>
      <c r="F14" s="4" t="s">
        <v>147</v>
      </c>
      <c r="G14" s="4" t="s">
        <v>24</v>
      </c>
      <c r="H14" s="4" t="s">
        <v>57</v>
      </c>
      <c r="I14" s="7" t="s">
        <v>58</v>
      </c>
      <c r="J14" s="4"/>
      <c r="L14" s="6" t="s">
        <v>25</v>
      </c>
      <c r="M14" s="6" t="s">
        <v>26</v>
      </c>
      <c r="N14" s="6" t="s">
        <v>27</v>
      </c>
      <c r="O14" s="6" t="s">
        <v>28</v>
      </c>
      <c r="P14" s="6"/>
      <c r="Q14" s="7" t="s">
        <v>29</v>
      </c>
      <c r="S14" s="6" t="s">
        <v>10</v>
      </c>
      <c r="T14" s="6" t="s">
        <v>30</v>
      </c>
      <c r="U14" s="6" t="s">
        <v>31</v>
      </c>
      <c r="V14" s="6" t="s">
        <v>32</v>
      </c>
      <c r="W14" s="6" t="s">
        <v>33</v>
      </c>
      <c r="X14" s="6"/>
      <c r="AA14" s="6"/>
    </row>
    <row r="15" spans="2:27">
      <c r="B15" s="4"/>
      <c r="J15" s="4"/>
      <c r="L15" s="3"/>
      <c r="M15" s="6"/>
      <c r="N15" s="6"/>
      <c r="O15" s="6"/>
      <c r="P15" s="6"/>
      <c r="Q15" s="7"/>
      <c r="R15" s="6"/>
      <c r="S15" s="6"/>
      <c r="T15" s="6"/>
      <c r="U15" s="6"/>
      <c r="V15" s="6"/>
      <c r="W15" s="6"/>
      <c r="AA15" s="6"/>
    </row>
    <row r="16" spans="2:27" ht="15.75">
      <c r="B16" s="4" t="s">
        <v>63</v>
      </c>
      <c r="C16" s="14" t="s">
        <v>50</v>
      </c>
      <c r="D16" s="4" t="s">
        <v>34</v>
      </c>
      <c r="E16" s="4" t="s">
        <v>35</v>
      </c>
      <c r="F16" s="4">
        <v>15</v>
      </c>
      <c r="G16" s="4" t="s">
        <v>36</v>
      </c>
      <c r="H16" s="4" t="s">
        <v>60</v>
      </c>
      <c r="I16" s="7">
        <v>0</v>
      </c>
      <c r="J16" s="5" t="s">
        <v>37</v>
      </c>
      <c r="L16" s="6">
        <v>2656</v>
      </c>
      <c r="M16" s="6">
        <v>0</v>
      </c>
      <c r="N16" s="4">
        <f>(L16+500)-M16</f>
        <v>3156</v>
      </c>
      <c r="O16" s="8" t="s">
        <v>38</v>
      </c>
      <c r="P16" s="9" t="s">
        <v>71</v>
      </c>
      <c r="Q16" s="7" t="s">
        <v>64</v>
      </c>
      <c r="R16" s="6"/>
      <c r="S16" s="6">
        <f>125+65</f>
        <v>190</v>
      </c>
      <c r="T16" s="4">
        <f>L16-S16</f>
        <v>2466</v>
      </c>
      <c r="U16" s="6"/>
      <c r="V16" s="6">
        <v>30</v>
      </c>
      <c r="W16" s="6">
        <f>T16-V16</f>
        <v>2436</v>
      </c>
      <c r="AA16" s="6"/>
    </row>
    <row r="17" spans="2:27" ht="15.75">
      <c r="B17" s="4" t="s">
        <v>49</v>
      </c>
      <c r="C17" s="14" t="s">
        <v>45</v>
      </c>
      <c r="D17" s="4" t="s">
        <v>46</v>
      </c>
      <c r="E17" s="4" t="s">
        <v>47</v>
      </c>
      <c r="G17" s="4" t="s">
        <v>88</v>
      </c>
      <c r="H17" s="4" t="s">
        <v>60</v>
      </c>
      <c r="I17" s="7">
        <v>3</v>
      </c>
      <c r="J17" s="5" t="s">
        <v>40</v>
      </c>
      <c r="K17" s="4"/>
      <c r="L17" s="6">
        <v>0</v>
      </c>
      <c r="M17" s="6">
        <v>0</v>
      </c>
      <c r="N17" s="4">
        <f>(L17+500)-M17</f>
        <v>500</v>
      </c>
      <c r="O17" s="8" t="s">
        <v>46</v>
      </c>
      <c r="P17" s="6"/>
      <c r="Q17" s="7" t="s">
        <v>46</v>
      </c>
      <c r="R17" s="6"/>
      <c r="S17" s="6">
        <v>0</v>
      </c>
      <c r="T17" s="4">
        <f t="shared" ref="T17:T39" si="3">L17-S17</f>
        <v>0</v>
      </c>
      <c r="U17" s="6"/>
      <c r="V17" s="6">
        <v>0</v>
      </c>
      <c r="W17" s="6">
        <f>T17-V17</f>
        <v>0</v>
      </c>
      <c r="AA17" s="4"/>
    </row>
    <row r="18" spans="2:27" ht="15.75">
      <c r="B18" s="4" t="s">
        <v>42</v>
      </c>
      <c r="C18" s="14" t="s">
        <v>51</v>
      </c>
      <c r="D18" s="4" t="s">
        <v>34</v>
      </c>
      <c r="E18" s="4" t="s">
        <v>43</v>
      </c>
      <c r="F18" s="4">
        <v>7</v>
      </c>
      <c r="G18" s="4" t="s">
        <v>44</v>
      </c>
      <c r="H18" s="4" t="s">
        <v>60</v>
      </c>
      <c r="I18" s="7">
        <v>0</v>
      </c>
      <c r="J18" s="5" t="s">
        <v>40</v>
      </c>
      <c r="K18" s="4"/>
      <c r="L18" s="6">
        <v>1622</v>
      </c>
      <c r="M18" s="6">
        <v>0</v>
      </c>
      <c r="N18" s="4">
        <f t="shared" ref="N18:N41" si="4">(L18+500)-M18</f>
        <v>2122</v>
      </c>
      <c r="O18" s="8" t="s">
        <v>38</v>
      </c>
      <c r="P18" s="6" t="s">
        <v>72</v>
      </c>
      <c r="Q18" s="7" t="s">
        <v>29</v>
      </c>
      <c r="R18" s="6"/>
      <c r="S18" s="6">
        <v>125</v>
      </c>
      <c r="T18" s="4">
        <f t="shared" si="3"/>
        <v>1497</v>
      </c>
      <c r="U18" s="6"/>
      <c r="V18" s="6">
        <v>30</v>
      </c>
      <c r="W18" s="6">
        <f t="shared" ref="W18:W39" si="5">T18-V18</f>
        <v>1467</v>
      </c>
      <c r="AA18" s="4"/>
    </row>
    <row r="19" spans="2:27" ht="15.75">
      <c r="B19" s="4"/>
      <c r="C19" s="14"/>
      <c r="J19" s="5"/>
      <c r="K19" s="4"/>
      <c r="L19" s="6"/>
      <c r="M19" s="6"/>
      <c r="N19" s="4">
        <f t="shared" si="4"/>
        <v>500</v>
      </c>
      <c r="O19" s="8"/>
      <c r="P19" s="6"/>
      <c r="Q19" s="7"/>
      <c r="R19" s="6"/>
      <c r="S19" s="6">
        <v>0</v>
      </c>
      <c r="T19" s="4">
        <f t="shared" si="3"/>
        <v>0</v>
      </c>
      <c r="U19" s="6"/>
      <c r="V19" s="6">
        <v>0</v>
      </c>
      <c r="W19" s="6">
        <f t="shared" si="5"/>
        <v>0</v>
      </c>
      <c r="AA19" s="4"/>
    </row>
    <row r="20" spans="2:27">
      <c r="B20" s="19" t="s">
        <v>65</v>
      </c>
      <c r="C20" s="19" t="s">
        <v>66</v>
      </c>
      <c r="D20" s="19" t="s">
        <v>67</v>
      </c>
      <c r="E20" s="19" t="s">
        <v>68</v>
      </c>
      <c r="F20" s="19">
        <v>14</v>
      </c>
      <c r="G20" s="19" t="s">
        <v>69</v>
      </c>
      <c r="H20" s="4" t="s">
        <v>60</v>
      </c>
      <c r="I20" s="7">
        <v>3</v>
      </c>
      <c r="J20" s="5" t="s">
        <v>40</v>
      </c>
      <c r="K20" s="4"/>
      <c r="L20" s="6">
        <v>2796</v>
      </c>
      <c r="M20" s="6">
        <v>1118</v>
      </c>
      <c r="N20" s="4">
        <f t="shared" si="4"/>
        <v>2178</v>
      </c>
      <c r="O20" s="8" t="s">
        <v>78</v>
      </c>
      <c r="P20" s="6" t="s">
        <v>76</v>
      </c>
      <c r="Q20" s="7" t="s">
        <v>64</v>
      </c>
      <c r="R20" s="6"/>
      <c r="S20" s="6">
        <v>125</v>
      </c>
      <c r="T20" s="4">
        <f t="shared" si="3"/>
        <v>2671</v>
      </c>
      <c r="U20" s="6"/>
      <c r="V20" s="6">
        <v>30</v>
      </c>
      <c r="W20" s="6">
        <f t="shared" si="5"/>
        <v>2641</v>
      </c>
      <c r="AA20" s="4"/>
    </row>
    <row r="21" spans="2:27">
      <c r="B21" s="19" t="s">
        <v>108</v>
      </c>
      <c r="C21" s="20" t="s">
        <v>107</v>
      </c>
      <c r="D21" s="19" t="s">
        <v>109</v>
      </c>
      <c r="E21" s="19" t="s">
        <v>111</v>
      </c>
      <c r="F21" s="19">
        <v>7</v>
      </c>
      <c r="G21" s="19" t="s">
        <v>110</v>
      </c>
      <c r="H21" s="4" t="s">
        <v>60</v>
      </c>
      <c r="I21" s="7">
        <v>0</v>
      </c>
      <c r="J21" s="5" t="s">
        <v>40</v>
      </c>
      <c r="K21" s="4"/>
      <c r="L21" s="6">
        <v>1200</v>
      </c>
      <c r="M21" s="6">
        <f>L21*0.4</f>
        <v>480</v>
      </c>
      <c r="N21" s="4">
        <f t="shared" si="4"/>
        <v>1220</v>
      </c>
      <c r="O21" s="8" t="s">
        <v>112</v>
      </c>
      <c r="P21" s="6" t="s">
        <v>76</v>
      </c>
      <c r="Q21" s="7" t="s">
        <v>116</v>
      </c>
      <c r="R21" s="6"/>
      <c r="S21" s="6">
        <v>125</v>
      </c>
      <c r="T21" s="4">
        <f t="shared" si="3"/>
        <v>1075</v>
      </c>
      <c r="U21" s="6"/>
      <c r="V21" s="6">
        <v>30</v>
      </c>
      <c r="W21" s="6">
        <f t="shared" si="5"/>
        <v>1045</v>
      </c>
      <c r="AA21" s="4"/>
    </row>
    <row r="22" spans="2:27">
      <c r="B22" s="19" t="s">
        <v>83</v>
      </c>
      <c r="C22" s="19" t="s">
        <v>85</v>
      </c>
      <c r="D22" s="19"/>
      <c r="E22" s="19" t="s">
        <v>84</v>
      </c>
      <c r="F22" s="19">
        <v>11</v>
      </c>
      <c r="G22" s="19" t="s">
        <v>86</v>
      </c>
      <c r="H22" s="4" t="s">
        <v>60</v>
      </c>
      <c r="I22" s="7">
        <v>0</v>
      </c>
      <c r="J22" s="5" t="s">
        <v>40</v>
      </c>
      <c r="K22" s="4"/>
      <c r="L22" s="6">
        <f>1819+71</f>
        <v>1890</v>
      </c>
      <c r="M22" s="6">
        <f>2390*0.4</f>
        <v>956</v>
      </c>
      <c r="N22" s="4">
        <f t="shared" si="4"/>
        <v>1434</v>
      </c>
      <c r="O22" s="8" t="s">
        <v>87</v>
      </c>
      <c r="P22" s="3" t="s">
        <v>19</v>
      </c>
      <c r="Q22" s="7" t="s">
        <v>116</v>
      </c>
      <c r="R22" s="6"/>
      <c r="S22" s="6">
        <v>125</v>
      </c>
      <c r="T22" s="4">
        <f t="shared" si="3"/>
        <v>1765</v>
      </c>
      <c r="U22" s="6"/>
      <c r="V22" s="6">
        <v>30</v>
      </c>
      <c r="W22" s="6">
        <f t="shared" si="5"/>
        <v>1735</v>
      </c>
      <c r="AA22" s="4"/>
    </row>
    <row r="23" spans="2:27">
      <c r="B23" s="19" t="s">
        <v>137</v>
      </c>
      <c r="C23" s="4" t="s">
        <v>136</v>
      </c>
      <c r="D23" s="19" t="s">
        <v>34</v>
      </c>
      <c r="E23" s="19" t="s">
        <v>138</v>
      </c>
      <c r="F23" s="19">
        <v>7</v>
      </c>
      <c r="G23" s="19" t="s">
        <v>134</v>
      </c>
      <c r="H23" s="4" t="s">
        <v>60</v>
      </c>
      <c r="I23" s="7">
        <v>0</v>
      </c>
      <c r="J23" s="5" t="s">
        <v>40</v>
      </c>
      <c r="K23" s="4"/>
      <c r="L23" s="6">
        <v>1202</v>
      </c>
      <c r="M23" s="6">
        <v>681</v>
      </c>
      <c r="N23" s="4">
        <f t="shared" si="4"/>
        <v>1021</v>
      </c>
      <c r="O23" s="8" t="s">
        <v>139</v>
      </c>
      <c r="P23" s="3" t="s">
        <v>19</v>
      </c>
      <c r="Q23" s="7" t="s">
        <v>116</v>
      </c>
      <c r="R23" s="6"/>
      <c r="S23" s="6">
        <v>0</v>
      </c>
      <c r="T23" s="4">
        <f t="shared" si="3"/>
        <v>1202</v>
      </c>
      <c r="U23" s="6"/>
      <c r="V23" s="6">
        <v>0</v>
      </c>
      <c r="W23" s="6">
        <f t="shared" si="5"/>
        <v>1202</v>
      </c>
      <c r="AA23" s="4"/>
    </row>
    <row r="24" spans="2:27" ht="18" customHeight="1">
      <c r="B24" s="19" t="s">
        <v>52</v>
      </c>
      <c r="C24" s="10" t="s">
        <v>53</v>
      </c>
      <c r="D24" s="19" t="s">
        <v>34</v>
      </c>
      <c r="E24" s="19" t="s">
        <v>54</v>
      </c>
      <c r="F24" s="19">
        <v>7</v>
      </c>
      <c r="G24" s="19" t="s">
        <v>70</v>
      </c>
      <c r="H24" s="4" t="s">
        <v>60</v>
      </c>
      <c r="I24" s="7">
        <v>0</v>
      </c>
      <c r="J24" s="5" t="s">
        <v>40</v>
      </c>
      <c r="K24" s="4"/>
      <c r="L24" s="6">
        <v>1600</v>
      </c>
      <c r="M24" s="6">
        <v>840</v>
      </c>
      <c r="N24" s="4">
        <f t="shared" si="4"/>
        <v>1260</v>
      </c>
      <c r="O24" s="8" t="s">
        <v>115</v>
      </c>
      <c r="P24" s="6" t="s">
        <v>71</v>
      </c>
      <c r="Q24" s="7" t="s">
        <v>61</v>
      </c>
      <c r="R24" s="6"/>
      <c r="S24" s="6">
        <v>125</v>
      </c>
      <c r="T24" s="4">
        <f t="shared" si="3"/>
        <v>1475</v>
      </c>
      <c r="U24" s="6"/>
      <c r="V24" s="6">
        <v>30</v>
      </c>
      <c r="W24" s="6">
        <f t="shared" si="5"/>
        <v>1445</v>
      </c>
      <c r="AA24" s="4"/>
    </row>
    <row r="25" spans="2:27">
      <c r="B25" s="19" t="s">
        <v>89</v>
      </c>
      <c r="C25" s="19" t="s">
        <v>90</v>
      </c>
      <c r="D25" s="19" t="s">
        <v>34</v>
      </c>
      <c r="E25" s="19" t="s">
        <v>91</v>
      </c>
      <c r="F25" s="19">
        <v>14</v>
      </c>
      <c r="G25" s="19" t="s">
        <v>92</v>
      </c>
      <c r="H25" s="4" t="s">
        <v>60</v>
      </c>
      <c r="I25" s="7">
        <v>0</v>
      </c>
      <c r="J25" s="5" t="s">
        <v>40</v>
      </c>
      <c r="K25" s="4"/>
      <c r="L25" s="6">
        <v>2234</v>
      </c>
      <c r="M25" s="6">
        <v>894</v>
      </c>
      <c r="N25" s="4">
        <f t="shared" si="4"/>
        <v>1840</v>
      </c>
      <c r="O25" s="8" t="s">
        <v>93</v>
      </c>
      <c r="P25" s="3" t="s">
        <v>19</v>
      </c>
      <c r="Q25" s="7" t="s">
        <v>121</v>
      </c>
      <c r="R25" s="6"/>
      <c r="S25" s="6">
        <v>0</v>
      </c>
      <c r="T25" s="4">
        <f t="shared" si="3"/>
        <v>2234</v>
      </c>
      <c r="U25" s="6"/>
      <c r="V25" s="6">
        <v>0</v>
      </c>
      <c r="W25" s="6">
        <f t="shared" si="5"/>
        <v>2234</v>
      </c>
      <c r="AA25" s="4"/>
    </row>
    <row r="26" spans="2:27" s="4" customFormat="1">
      <c r="B26" s="19" t="s">
        <v>130</v>
      </c>
      <c r="C26" s="19" t="s">
        <v>135</v>
      </c>
      <c r="D26" s="19" t="s">
        <v>46</v>
      </c>
      <c r="E26" s="4" t="s">
        <v>148</v>
      </c>
      <c r="F26" s="19">
        <v>0</v>
      </c>
      <c r="G26" s="19" t="s">
        <v>134</v>
      </c>
      <c r="H26" s="4" t="s">
        <v>60</v>
      </c>
      <c r="I26" s="7">
        <v>0</v>
      </c>
      <c r="J26" s="5" t="s">
        <v>40</v>
      </c>
      <c r="L26" s="6">
        <v>0</v>
      </c>
      <c r="M26" s="6">
        <v>0</v>
      </c>
      <c r="N26" s="4">
        <v>0</v>
      </c>
      <c r="O26" s="8" t="s">
        <v>46</v>
      </c>
      <c r="P26" s="3"/>
      <c r="Q26" s="7" t="s">
        <v>46</v>
      </c>
      <c r="R26" s="6"/>
      <c r="S26" s="6"/>
      <c r="U26" s="6"/>
      <c r="V26" s="6"/>
      <c r="W26" s="6">
        <v>-155</v>
      </c>
    </row>
    <row r="27" spans="2:27" s="4" customFormat="1">
      <c r="B27" s="19" t="s">
        <v>94</v>
      </c>
      <c r="C27" s="10" t="s">
        <v>45</v>
      </c>
      <c r="D27" s="19" t="s">
        <v>46</v>
      </c>
      <c r="E27" s="4" t="s">
        <v>149</v>
      </c>
      <c r="F27" s="19"/>
      <c r="G27" s="19" t="s">
        <v>114</v>
      </c>
      <c r="H27" s="4" t="s">
        <v>60</v>
      </c>
      <c r="I27" s="7">
        <v>0</v>
      </c>
      <c r="J27" s="5" t="s">
        <v>40</v>
      </c>
      <c r="L27" s="6"/>
      <c r="M27" s="6"/>
      <c r="O27" s="8"/>
      <c r="P27" s="3"/>
      <c r="Q27" s="7"/>
      <c r="R27" s="6"/>
      <c r="S27" s="6"/>
      <c r="U27" s="6"/>
      <c r="V27" s="6"/>
      <c r="W27" s="6"/>
    </row>
    <row r="28" spans="2:27">
      <c r="B28" s="19" t="s">
        <v>125</v>
      </c>
      <c r="C28" s="19" t="s">
        <v>126</v>
      </c>
      <c r="D28" s="19" t="s">
        <v>67</v>
      </c>
      <c r="E28" s="19" t="s">
        <v>127</v>
      </c>
      <c r="F28" s="19">
        <v>7</v>
      </c>
      <c r="G28" s="19" t="s">
        <v>128</v>
      </c>
      <c r="H28" s="4" t="s">
        <v>60</v>
      </c>
      <c r="I28" s="7">
        <v>0</v>
      </c>
      <c r="J28" s="5" t="s">
        <v>40</v>
      </c>
      <c r="K28" s="4"/>
      <c r="L28" s="6">
        <v>1431</v>
      </c>
      <c r="M28" s="6">
        <v>544</v>
      </c>
      <c r="N28" s="4">
        <f t="shared" si="4"/>
        <v>1387</v>
      </c>
      <c r="O28" s="8" t="s">
        <v>129</v>
      </c>
      <c r="P28" s="3" t="s">
        <v>19</v>
      </c>
      <c r="Q28" s="7" t="s">
        <v>121</v>
      </c>
      <c r="R28" s="6"/>
      <c r="S28" s="6">
        <v>125</v>
      </c>
      <c r="T28" s="4">
        <f t="shared" si="3"/>
        <v>1306</v>
      </c>
      <c r="U28" s="6"/>
      <c r="V28" s="6">
        <v>30</v>
      </c>
      <c r="W28" s="6">
        <f t="shared" si="5"/>
        <v>1276</v>
      </c>
      <c r="AA28" s="4"/>
    </row>
    <row r="29" spans="2:27" s="4" customFormat="1">
      <c r="B29" s="19" t="s">
        <v>94</v>
      </c>
      <c r="C29" s="10" t="s">
        <v>45</v>
      </c>
      <c r="D29" s="19" t="s">
        <v>46</v>
      </c>
      <c r="E29" s="19" t="s">
        <v>100</v>
      </c>
      <c r="F29" s="19"/>
      <c r="G29" s="19" t="s">
        <v>96</v>
      </c>
      <c r="H29" s="4" t="s">
        <v>60</v>
      </c>
      <c r="I29" s="7">
        <v>3</v>
      </c>
      <c r="J29" s="5" t="s">
        <v>40</v>
      </c>
      <c r="L29" s="6">
        <v>0</v>
      </c>
      <c r="M29" s="6">
        <v>0</v>
      </c>
      <c r="N29" s="4">
        <v>0</v>
      </c>
      <c r="O29" s="8"/>
      <c r="P29" s="6"/>
      <c r="Q29" s="7" t="s">
        <v>46</v>
      </c>
      <c r="R29" s="6"/>
      <c r="S29" s="6">
        <v>0</v>
      </c>
      <c r="T29" s="4">
        <f t="shared" ref="T29" si="6">L29-S29</f>
        <v>0</v>
      </c>
      <c r="U29" s="6"/>
      <c r="V29" s="6">
        <v>0</v>
      </c>
      <c r="W29" s="6">
        <v>-125</v>
      </c>
    </row>
    <row r="30" spans="2:27" s="4" customFormat="1">
      <c r="B30" s="19" t="s">
        <v>94</v>
      </c>
      <c r="C30" s="10" t="s">
        <v>45</v>
      </c>
      <c r="D30" s="19" t="s">
        <v>46</v>
      </c>
      <c r="E30" s="19" t="s">
        <v>113</v>
      </c>
      <c r="F30" s="19"/>
      <c r="G30" s="19" t="s">
        <v>96</v>
      </c>
      <c r="H30" s="4" t="s">
        <v>60</v>
      </c>
      <c r="I30" s="7">
        <v>3</v>
      </c>
      <c r="J30" s="5" t="s">
        <v>120</v>
      </c>
      <c r="L30" s="6"/>
      <c r="M30" s="6"/>
      <c r="N30" s="4">
        <v>0</v>
      </c>
      <c r="O30" s="8"/>
      <c r="P30" s="6"/>
      <c r="Q30" s="7" t="s">
        <v>46</v>
      </c>
      <c r="R30" s="6"/>
      <c r="S30" s="6"/>
      <c r="U30" s="6"/>
      <c r="V30" s="6"/>
      <c r="W30" s="6">
        <f>-((125+40)*4)</f>
        <v>-660</v>
      </c>
    </row>
    <row r="31" spans="2:27">
      <c r="B31" s="19" t="s">
        <v>94</v>
      </c>
      <c r="C31" s="10" t="s">
        <v>45</v>
      </c>
      <c r="D31" s="19" t="s">
        <v>46</v>
      </c>
      <c r="E31" s="19" t="s">
        <v>98</v>
      </c>
      <c r="F31" s="19"/>
      <c r="G31" s="19" t="s">
        <v>96</v>
      </c>
      <c r="H31" s="4" t="s">
        <v>60</v>
      </c>
      <c r="I31" s="7">
        <v>3</v>
      </c>
      <c r="J31" s="5" t="s">
        <v>40</v>
      </c>
      <c r="K31" s="4"/>
      <c r="L31" s="6">
        <v>0</v>
      </c>
      <c r="M31" s="6">
        <v>0</v>
      </c>
      <c r="N31" s="4">
        <v>0</v>
      </c>
      <c r="O31" s="8"/>
      <c r="P31" s="6"/>
      <c r="Q31" s="7" t="s">
        <v>46</v>
      </c>
      <c r="R31" s="6"/>
      <c r="S31" s="6">
        <v>0</v>
      </c>
      <c r="T31" s="4">
        <f t="shared" si="3"/>
        <v>0</v>
      </c>
      <c r="U31" s="6"/>
      <c r="V31" s="6">
        <v>0</v>
      </c>
      <c r="W31" s="6">
        <v>-125</v>
      </c>
      <c r="AA31" s="4"/>
    </row>
    <row r="32" spans="2:27" s="4" customFormat="1">
      <c r="B32" s="20" t="s">
        <v>102</v>
      </c>
      <c r="C32" s="20" t="s">
        <v>101</v>
      </c>
      <c r="D32" s="19" t="s">
        <v>34</v>
      </c>
      <c r="E32" s="19" t="s">
        <v>103</v>
      </c>
      <c r="F32" s="19">
        <v>7</v>
      </c>
      <c r="G32" s="19" t="s">
        <v>39</v>
      </c>
      <c r="H32" s="4" t="s">
        <v>60</v>
      </c>
      <c r="I32" s="7">
        <v>0</v>
      </c>
      <c r="J32" s="5" t="s">
        <v>40</v>
      </c>
      <c r="L32" s="6">
        <v>1580</v>
      </c>
      <c r="M32" s="6">
        <f>L32*0.4</f>
        <v>632</v>
      </c>
      <c r="N32" s="4">
        <f t="shared" ref="N32" si="7">(L32+500)-M32</f>
        <v>1448</v>
      </c>
      <c r="O32" s="8" t="s">
        <v>104</v>
      </c>
      <c r="P32" s="3" t="s">
        <v>19</v>
      </c>
      <c r="Q32" s="7" t="s">
        <v>105</v>
      </c>
      <c r="R32" s="6"/>
      <c r="S32" s="6">
        <v>125</v>
      </c>
      <c r="T32" s="4">
        <f t="shared" ref="T32" si="8">L32-S32</f>
        <v>1455</v>
      </c>
      <c r="U32" s="6"/>
      <c r="V32" s="6">
        <v>30</v>
      </c>
      <c r="W32" s="6">
        <f t="shared" ref="W32" si="9">T32-V32</f>
        <v>1425</v>
      </c>
    </row>
    <row r="33" spans="2:28">
      <c r="B33" s="19" t="s">
        <v>97</v>
      </c>
      <c r="C33" s="10" t="s">
        <v>45</v>
      </c>
      <c r="D33" s="19" t="s">
        <v>46</v>
      </c>
      <c r="E33" s="19" t="s">
        <v>99</v>
      </c>
      <c r="F33" s="19"/>
      <c r="G33" s="19" t="s">
        <v>114</v>
      </c>
      <c r="H33" s="4" t="s">
        <v>60</v>
      </c>
      <c r="I33" s="7">
        <v>0</v>
      </c>
      <c r="J33" s="5" t="s">
        <v>40</v>
      </c>
      <c r="K33" s="4"/>
      <c r="L33" s="6">
        <v>0</v>
      </c>
      <c r="M33" s="6">
        <v>0</v>
      </c>
      <c r="N33" s="4">
        <f t="shared" si="4"/>
        <v>500</v>
      </c>
      <c r="O33" s="8"/>
      <c r="P33" s="6"/>
      <c r="Q33" s="7" t="s">
        <v>46</v>
      </c>
      <c r="R33" s="6"/>
      <c r="S33" s="6">
        <v>0</v>
      </c>
      <c r="T33" s="4">
        <f t="shared" si="3"/>
        <v>0</v>
      </c>
      <c r="U33" s="6"/>
      <c r="V33" s="6">
        <v>0</v>
      </c>
      <c r="W33" s="6">
        <v>-125</v>
      </c>
      <c r="AA33" s="4"/>
      <c r="AB33" s="4"/>
    </row>
    <row r="34" spans="2:28">
      <c r="B34" s="19" t="s">
        <v>79</v>
      </c>
      <c r="C34" s="10" t="s">
        <v>80</v>
      </c>
      <c r="D34" s="19" t="s">
        <v>34</v>
      </c>
      <c r="E34" s="19" t="s">
        <v>81</v>
      </c>
      <c r="F34" s="19">
        <v>14</v>
      </c>
      <c r="G34" s="19" t="s">
        <v>39</v>
      </c>
      <c r="H34" s="4" t="s">
        <v>60</v>
      </c>
      <c r="I34" s="7">
        <v>0</v>
      </c>
      <c r="J34" s="5" t="s">
        <v>40</v>
      </c>
      <c r="K34" s="4"/>
      <c r="L34" s="6">
        <f>3695-500</f>
        <v>3195</v>
      </c>
      <c r="M34" s="6">
        <f>L34*0.4</f>
        <v>1278</v>
      </c>
      <c r="N34" s="4">
        <f t="shared" si="4"/>
        <v>2417</v>
      </c>
      <c r="O34" s="8" t="s">
        <v>82</v>
      </c>
      <c r="P34" s="6" t="s">
        <v>71</v>
      </c>
      <c r="Q34" s="7" t="s">
        <v>61</v>
      </c>
      <c r="R34" s="6"/>
      <c r="S34" s="6">
        <v>125</v>
      </c>
      <c r="T34" s="4">
        <f t="shared" si="3"/>
        <v>3070</v>
      </c>
      <c r="U34" s="6"/>
      <c r="V34" s="6">
        <v>30</v>
      </c>
      <c r="W34" s="6">
        <f t="shared" si="5"/>
        <v>3040</v>
      </c>
      <c r="AA34" s="4"/>
      <c r="AB34" s="4"/>
    </row>
    <row r="35" spans="2:28" s="4" customFormat="1">
      <c r="B35" s="19" t="s">
        <v>94</v>
      </c>
      <c r="C35" s="10" t="s">
        <v>45</v>
      </c>
      <c r="D35" s="19" t="s">
        <v>46</v>
      </c>
      <c r="E35" s="19" t="s">
        <v>95</v>
      </c>
      <c r="F35" s="19">
        <v>7</v>
      </c>
      <c r="G35" s="19" t="s">
        <v>96</v>
      </c>
      <c r="H35" s="4" t="s">
        <v>60</v>
      </c>
      <c r="I35" s="7">
        <v>3</v>
      </c>
      <c r="J35" s="5" t="s">
        <v>40</v>
      </c>
      <c r="L35" s="6">
        <v>0</v>
      </c>
      <c r="M35" s="6">
        <v>0</v>
      </c>
      <c r="N35" s="4">
        <v>0</v>
      </c>
      <c r="O35" s="8"/>
      <c r="P35" s="6"/>
      <c r="Q35" s="7" t="s">
        <v>46</v>
      </c>
      <c r="R35" s="6"/>
      <c r="S35" s="6">
        <v>125</v>
      </c>
      <c r="T35" s="4">
        <v>-125</v>
      </c>
      <c r="U35" s="6"/>
      <c r="V35" s="6">
        <v>0</v>
      </c>
      <c r="W35" s="6">
        <v>-125</v>
      </c>
    </row>
    <row r="36" spans="2:28" s="4" customFormat="1">
      <c r="B36" s="10" t="s">
        <v>56</v>
      </c>
      <c r="C36" s="19" t="s">
        <v>55</v>
      </c>
      <c r="D36" s="19" t="s">
        <v>34</v>
      </c>
      <c r="E36" s="19" t="s">
        <v>118</v>
      </c>
      <c r="F36" s="19">
        <v>7</v>
      </c>
      <c r="G36" s="19" t="s">
        <v>39</v>
      </c>
      <c r="H36" s="4" t="s">
        <v>62</v>
      </c>
      <c r="I36" s="7">
        <v>0</v>
      </c>
      <c r="J36" s="5" t="s">
        <v>40</v>
      </c>
      <c r="L36" s="6">
        <f>1600+125+67.28</f>
        <v>1792.28</v>
      </c>
      <c r="M36" s="6">
        <f>L36*0.4</f>
        <v>716.91200000000003</v>
      </c>
      <c r="N36" s="4">
        <f t="shared" ref="N36" si="10">(L36+500)-M36</f>
        <v>1575.3679999999997</v>
      </c>
      <c r="O36" s="8" t="s">
        <v>48</v>
      </c>
      <c r="P36" s="3" t="s">
        <v>19</v>
      </c>
      <c r="Q36" s="7" t="s">
        <v>61</v>
      </c>
      <c r="R36" s="6"/>
      <c r="S36" s="6">
        <v>125</v>
      </c>
      <c r="T36" s="4">
        <f t="shared" ref="T36" si="11">L36-S36</f>
        <v>1667.28</v>
      </c>
      <c r="U36" s="6"/>
      <c r="V36" s="6">
        <v>30</v>
      </c>
      <c r="W36" s="6">
        <f t="shared" ref="W36" si="12">T36-V36</f>
        <v>1637.28</v>
      </c>
    </row>
    <row r="37" spans="2:28" s="4" customFormat="1" ht="15.75">
      <c r="B37" s="20" t="s">
        <v>124</v>
      </c>
      <c r="C37" s="20" t="s">
        <v>122</v>
      </c>
      <c r="D37" s="19"/>
      <c r="E37" s="19" t="s">
        <v>133</v>
      </c>
      <c r="F37" s="19">
        <v>7</v>
      </c>
      <c r="G37" s="19" t="s">
        <v>123</v>
      </c>
      <c r="H37" s="4" t="s">
        <v>60</v>
      </c>
      <c r="I37" s="7">
        <v>0</v>
      </c>
      <c r="J37" s="18" t="s">
        <v>132</v>
      </c>
      <c r="L37" s="4">
        <v>1847</v>
      </c>
      <c r="M37" s="4">
        <f>(L37+500)*0.4</f>
        <v>938.80000000000007</v>
      </c>
      <c r="N37" s="4">
        <f t="shared" si="4"/>
        <v>1408.1999999999998</v>
      </c>
      <c r="O37" s="6" t="s">
        <v>131</v>
      </c>
      <c r="P37" s="3" t="s">
        <v>19</v>
      </c>
      <c r="Q37" s="7" t="s">
        <v>121</v>
      </c>
      <c r="S37" s="6">
        <v>125</v>
      </c>
      <c r="T37" s="4">
        <f t="shared" si="3"/>
        <v>1722</v>
      </c>
      <c r="V37" s="6">
        <v>30</v>
      </c>
      <c r="W37" s="6">
        <f t="shared" si="5"/>
        <v>1692</v>
      </c>
    </row>
    <row r="38" spans="2:28">
      <c r="B38" s="19"/>
      <c r="C38" s="19"/>
      <c r="D38" s="19"/>
      <c r="E38" s="19"/>
      <c r="F38" s="19"/>
      <c r="G38" s="19"/>
      <c r="J38" s="5"/>
      <c r="K38" s="4"/>
      <c r="L38" s="6">
        <v>0</v>
      </c>
      <c r="M38" s="6">
        <f>IF(L38&gt;0,(L38+500)*0.4,0)</f>
        <v>0</v>
      </c>
      <c r="N38" s="4">
        <f t="shared" si="4"/>
        <v>500</v>
      </c>
      <c r="O38" s="8"/>
      <c r="P38" s="3"/>
      <c r="Q38" s="7"/>
      <c r="R38" s="6"/>
      <c r="S38" s="6">
        <v>0</v>
      </c>
      <c r="T38" s="4">
        <f t="shared" si="3"/>
        <v>0</v>
      </c>
      <c r="U38" s="6"/>
      <c r="V38" s="6">
        <v>0</v>
      </c>
      <c r="W38" s="6">
        <f t="shared" si="5"/>
        <v>0</v>
      </c>
      <c r="AA38" s="4"/>
      <c r="AB38" s="4"/>
    </row>
    <row r="39" spans="2:28">
      <c r="B39" s="19" t="s">
        <v>73</v>
      </c>
      <c r="C39" s="19" t="s">
        <v>74</v>
      </c>
      <c r="D39" s="19" t="s">
        <v>34</v>
      </c>
      <c r="E39" s="19" t="s">
        <v>75</v>
      </c>
      <c r="F39" s="19">
        <v>12</v>
      </c>
      <c r="G39" s="19" t="s">
        <v>39</v>
      </c>
      <c r="H39" s="4" t="s">
        <v>60</v>
      </c>
      <c r="I39" s="7">
        <v>0</v>
      </c>
      <c r="J39" s="5" t="s">
        <v>40</v>
      </c>
      <c r="K39" s="4"/>
      <c r="L39" s="6">
        <f>2832-500</f>
        <v>2332</v>
      </c>
      <c r="M39" s="6">
        <v>933</v>
      </c>
      <c r="N39" s="4">
        <f t="shared" si="4"/>
        <v>1899</v>
      </c>
      <c r="O39" s="8" t="s">
        <v>77</v>
      </c>
      <c r="P39" s="3" t="s">
        <v>19</v>
      </c>
      <c r="Q39" s="7" t="s">
        <v>61</v>
      </c>
      <c r="R39" s="6"/>
      <c r="S39" s="6">
        <v>125</v>
      </c>
      <c r="T39" s="4">
        <f t="shared" si="3"/>
        <v>2207</v>
      </c>
      <c r="U39" s="6"/>
      <c r="V39" s="6">
        <v>30</v>
      </c>
      <c r="W39" s="6">
        <f t="shared" si="5"/>
        <v>2177</v>
      </c>
      <c r="AA39" s="4"/>
      <c r="AB39" s="4"/>
    </row>
    <row r="40" spans="2:28" s="4" customFormat="1">
      <c r="B40" s="19"/>
      <c r="C40" s="19"/>
      <c r="D40" s="19"/>
      <c r="E40" s="19"/>
      <c r="F40" s="19"/>
      <c r="G40" s="19"/>
      <c r="I40" s="7"/>
      <c r="J40" s="5"/>
      <c r="L40" s="6"/>
      <c r="M40" s="6"/>
      <c r="O40" s="8"/>
      <c r="P40" s="3"/>
      <c r="Q40" s="7"/>
      <c r="R40" s="6"/>
      <c r="S40" s="6"/>
      <c r="U40" s="6"/>
      <c r="V40" s="6"/>
      <c r="W40" s="6"/>
    </row>
    <row r="41" spans="2:28" s="4" customFormat="1">
      <c r="B41" s="21" t="s">
        <v>142</v>
      </c>
      <c r="C41" s="4" t="s">
        <v>141</v>
      </c>
      <c r="D41" s="4" t="s">
        <v>109</v>
      </c>
      <c r="E41" s="19" t="s">
        <v>143</v>
      </c>
      <c r="F41" s="19">
        <v>7</v>
      </c>
      <c r="G41" s="19" t="s">
        <v>144</v>
      </c>
      <c r="H41" s="19" t="s">
        <v>60</v>
      </c>
      <c r="I41" s="7">
        <v>0</v>
      </c>
      <c r="J41" s="5" t="s">
        <v>40</v>
      </c>
      <c r="L41" s="6">
        <v>1775</v>
      </c>
      <c r="M41" s="6">
        <f>(1775+500)*0.4</f>
        <v>910</v>
      </c>
      <c r="N41" s="4">
        <f t="shared" si="4"/>
        <v>1365</v>
      </c>
      <c r="O41" s="8" t="s">
        <v>145</v>
      </c>
      <c r="P41" s="3" t="s">
        <v>19</v>
      </c>
      <c r="Q41" s="7" t="s">
        <v>61</v>
      </c>
      <c r="R41" s="6"/>
      <c r="S41" s="6">
        <v>125</v>
      </c>
      <c r="T41" s="4">
        <f t="shared" ref="T41" si="13">L41-S41</f>
        <v>1650</v>
      </c>
      <c r="U41" s="6"/>
      <c r="V41" s="6">
        <v>30</v>
      </c>
      <c r="W41" s="6">
        <f t="shared" ref="W41" si="14">T41-V41</f>
        <v>1620</v>
      </c>
    </row>
    <row r="42" spans="2:28" s="4" customFormat="1">
      <c r="B42" s="19" t="s">
        <v>97</v>
      </c>
      <c r="C42" s="10" t="s">
        <v>45</v>
      </c>
      <c r="D42" s="19" t="s">
        <v>46</v>
      </c>
      <c r="E42" s="19" t="s">
        <v>140</v>
      </c>
      <c r="F42" s="19"/>
      <c r="G42" s="19" t="s">
        <v>114</v>
      </c>
      <c r="H42" s="4" t="s">
        <v>60</v>
      </c>
      <c r="I42" s="7">
        <v>0</v>
      </c>
      <c r="J42" s="5" t="s">
        <v>40</v>
      </c>
      <c r="L42" s="6"/>
      <c r="M42" s="6"/>
      <c r="O42" s="8"/>
      <c r="P42" s="3"/>
      <c r="Q42" s="7"/>
      <c r="R42" s="6"/>
      <c r="S42" s="6"/>
      <c r="T42" s="4">
        <v>-125</v>
      </c>
      <c r="U42" s="6"/>
      <c r="V42" s="6"/>
      <c r="W42" s="6">
        <v>-125</v>
      </c>
    </row>
    <row r="43" spans="2:28" s="4" customFormat="1">
      <c r="B43" s="19" t="s">
        <v>65</v>
      </c>
      <c r="C43" s="19" t="s">
        <v>66</v>
      </c>
      <c r="D43" s="19" t="s">
        <v>67</v>
      </c>
      <c r="E43" s="19" t="s">
        <v>68</v>
      </c>
      <c r="F43" s="19">
        <v>14</v>
      </c>
      <c r="G43" s="19" t="s">
        <v>69</v>
      </c>
      <c r="H43" s="4" t="s">
        <v>60</v>
      </c>
      <c r="I43" s="7">
        <v>3</v>
      </c>
      <c r="J43" s="5" t="s">
        <v>40</v>
      </c>
      <c r="L43" s="6">
        <v>2929</v>
      </c>
      <c r="M43" s="6">
        <f>1172-500</f>
        <v>672</v>
      </c>
      <c r="N43" s="4">
        <v>1757</v>
      </c>
      <c r="O43" s="8" t="s">
        <v>152</v>
      </c>
      <c r="P43" s="6" t="s">
        <v>76</v>
      </c>
      <c r="Q43" s="7"/>
      <c r="R43" s="6"/>
      <c r="S43" s="6">
        <v>125</v>
      </c>
      <c r="T43" s="4">
        <f t="shared" ref="T43" si="15">L43-S43</f>
        <v>2804</v>
      </c>
      <c r="U43" s="6"/>
      <c r="V43" s="6">
        <v>30</v>
      </c>
      <c r="W43" s="6">
        <f t="shared" ref="W43" si="16">T43-V43</f>
        <v>2774</v>
      </c>
    </row>
    <row r="44" spans="2:28" s="4" customFormat="1">
      <c r="B44" s="19" t="s">
        <v>94</v>
      </c>
      <c r="C44" s="10" t="s">
        <v>45</v>
      </c>
      <c r="D44" s="19" t="s">
        <v>46</v>
      </c>
      <c r="E44" s="19" t="s">
        <v>106</v>
      </c>
      <c r="F44" s="19"/>
      <c r="G44" s="19" t="s">
        <v>69</v>
      </c>
      <c r="H44" s="4" t="s">
        <v>60</v>
      </c>
      <c r="I44" s="7">
        <v>3</v>
      </c>
      <c r="J44" s="5" t="s">
        <v>40</v>
      </c>
      <c r="L44" s="6">
        <v>0</v>
      </c>
      <c r="M44" s="6">
        <v>0</v>
      </c>
      <c r="N44" s="4">
        <v>0</v>
      </c>
      <c r="O44" s="8" t="s">
        <v>46</v>
      </c>
      <c r="P44" s="3"/>
      <c r="Q44" s="7"/>
      <c r="R44" s="6"/>
      <c r="S44" s="6"/>
      <c r="T44" s="4">
        <v>-125</v>
      </c>
      <c r="U44" s="6"/>
      <c r="V44" s="6"/>
      <c r="W44" s="6">
        <v>-125</v>
      </c>
    </row>
    <row r="45" spans="2:28">
      <c r="B45" s="19" t="s">
        <v>94</v>
      </c>
      <c r="C45" s="10" t="s">
        <v>45</v>
      </c>
      <c r="D45" s="19" t="s">
        <v>46</v>
      </c>
      <c r="E45" s="19" t="s">
        <v>119</v>
      </c>
      <c r="F45" s="19"/>
      <c r="G45" s="19" t="s">
        <v>69</v>
      </c>
      <c r="H45" s="4" t="s">
        <v>60</v>
      </c>
      <c r="I45" s="7">
        <v>3</v>
      </c>
      <c r="J45" s="5" t="s">
        <v>40</v>
      </c>
      <c r="K45" s="4"/>
      <c r="L45" s="6">
        <v>0</v>
      </c>
      <c r="M45" s="6">
        <v>0</v>
      </c>
      <c r="N45" s="4">
        <v>0</v>
      </c>
      <c r="O45" s="8" t="s">
        <v>46</v>
      </c>
      <c r="P45" s="3"/>
      <c r="Q45" s="7"/>
      <c r="R45" s="6"/>
      <c r="S45" s="6"/>
      <c r="T45" s="4">
        <v>-125</v>
      </c>
      <c r="U45" s="6"/>
      <c r="V45" s="6"/>
      <c r="W45" s="6">
        <v>-125</v>
      </c>
      <c r="AA45" s="4"/>
      <c r="AB45" s="4"/>
    </row>
    <row r="46" spans="2:28" ht="15.75">
      <c r="C46" s="13"/>
      <c r="E46" s="22" t="s">
        <v>151</v>
      </c>
      <c r="F46" s="4">
        <f>SUM(F16:F45)</f>
        <v>164</v>
      </c>
      <c r="L46" s="4"/>
      <c r="M46" s="4"/>
      <c r="N46" s="4"/>
      <c r="O46" s="4"/>
      <c r="P46" s="4"/>
      <c r="Q46" s="4"/>
      <c r="R46" s="4"/>
      <c r="S46" s="4">
        <f>SUM(S16:S45)</f>
        <v>1940</v>
      </c>
      <c r="T46" s="4">
        <f>SUM(T16:T45)</f>
        <v>29766.28</v>
      </c>
      <c r="U46" s="4">
        <f>SUM(U16:U45)</f>
        <v>0</v>
      </c>
      <c r="V46" s="4">
        <f>SUM(V16:V45)</f>
        <v>420</v>
      </c>
      <c r="W46" s="4">
        <f>SUM(W16:W45)</f>
        <v>28156.28</v>
      </c>
    </row>
    <row r="47" spans="2:28">
      <c r="M47" s="4"/>
    </row>
    <row r="48" spans="2:28">
      <c r="E48" s="6" t="s">
        <v>150</v>
      </c>
      <c r="F48" s="4">
        <f>F46/7</f>
        <v>23.428571428571427</v>
      </c>
      <c r="W48">
        <f>W46/320000</f>
        <v>8.7988374999999994E-2</v>
      </c>
    </row>
    <row r="54" spans="2:14">
      <c r="N54" s="4"/>
    </row>
    <row r="55" spans="2:14">
      <c r="B55" s="4"/>
    </row>
    <row r="56" spans="2:14" ht="15.75">
      <c r="B56" s="4"/>
      <c r="C56" s="13"/>
    </row>
    <row r="57" spans="2:14" ht="16.5">
      <c r="B57" s="11"/>
      <c r="C57" s="13"/>
    </row>
    <row r="58" spans="2:14" ht="17.25">
      <c r="B58" s="16"/>
      <c r="C58" s="12"/>
      <c r="E58" s="13"/>
      <c r="F58" s="13"/>
    </row>
    <row r="59" spans="2:14" ht="17.25">
      <c r="B59" s="15"/>
      <c r="C59" s="15"/>
      <c r="E59" s="13"/>
      <c r="F59" s="13"/>
    </row>
    <row r="60" spans="2:14" ht="17.25">
      <c r="B60" s="17"/>
      <c r="C60" s="15"/>
    </row>
    <row r="61" spans="2:14" ht="17.25">
      <c r="B61" s="15"/>
      <c r="C61" s="15"/>
    </row>
    <row r="62" spans="2:14">
      <c r="B62" s="17"/>
      <c r="C62" s="17"/>
    </row>
    <row r="63" spans="2:14">
      <c r="B63" s="17"/>
      <c r="C63" s="17"/>
    </row>
  </sheetData>
  <pageMargins left="0.7" right="0.7" top="0.75" bottom="0.75" header="0.3" footer="0.3"/>
  <pageSetup orientation="portrait" verticalDpi="0" r:id="rId1"/>
  <ignoredErrors>
    <ignoredError sqref="O36:O37 O20:O23 O28 O34 O32 O24:O25 O39 O41" twoDigitTextYear="1"/>
    <ignoredError sqref="M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2010-06-05T09:28:51Z</dcterms:created>
  <dcterms:modified xsi:type="dcterms:W3CDTF">2010-08-16T18:08:25Z</dcterms:modified>
</cp:coreProperties>
</file>